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3izx5ovaB/OLyaDt5vjMzKUp7eHQzxDTXfUPQ8CCchZTRRe3oRjBcboxfbBixndVrTtBSkPPiF3mI3q2ivFzag==" saltValue="pNtTCu67kMTqeFfYbCEcJw==" spinCount="100000"/>
  <workbookPr filterPrivacy="1" showInkAnnotation="0" codeName="ThisWorkbook" defaultThemeVersion="124226"/>
  <xr:revisionPtr revIDLastSave="0" documentId="8_{E84CFA08-7538-42DD-9369-F024F3660364}" xr6:coauthVersionLast="47" xr6:coauthVersionMax="47" xr10:uidLastSave="{00000000-0000-0000-0000-000000000000}"/>
  <bookViews>
    <workbookView xWindow="-120" yWindow="-120" windowWidth="29040" windowHeight="15720" tabRatio="1000" xr2:uid="{00000000-000D-0000-FFFF-FFFF00000000}"/>
  </bookViews>
  <sheets>
    <sheet name="TCOS" sheetId="2" r:id="rId1"/>
    <sheet name="WS A - RB Support" sheetId="35" r:id="rId2"/>
    <sheet name="WS B ADIT &amp; ITC" sheetId="5" r:id="rId3"/>
    <sheet name="WS B-1 - Actual Stmt. AF" sheetId="38" r:id="rId4"/>
    <sheet name="WS B-2 - Actual Stmt. AG" sheetId="39" r:id="rId5"/>
    <sheet name="WS B-3" sheetId="50" r:id="rId6"/>
    <sheet name="WS B-3-A" sheetId="57" r:id="rId7"/>
    <sheet name="WS B-3-B" sheetId="58" r:id="rId8"/>
    <sheet name="WS C  - Working Capital" sheetId="6" r:id="rId9"/>
    <sheet name="WS D IPP Credits" sheetId="7" r:id="rId10"/>
    <sheet name="WS E Rev Credits" sheetId="8" r:id="rId11"/>
    <sheet name="WS F Misc Exp" sheetId="9" r:id="rId12"/>
    <sheet name="WS G  State Tax Rate" sheetId="10" r:id="rId13"/>
    <sheet name="WS H Other Taxes" sheetId="11" r:id="rId14"/>
    <sheet name="WS H-1-Detail of Tax Amts" sheetId="30" r:id="rId15"/>
    <sheet name="WS I Reserved" sheetId="12" r:id="rId16"/>
    <sheet name="WS J PROJECTED RTEP RR" sheetId="20" r:id="rId17"/>
    <sheet name="WS K TRUE-UP RTEP RR" sheetId="13" state="hidden" r:id="rId18"/>
    <sheet name="WS L Reserved" sheetId="14" r:id="rId19"/>
    <sheet name="WS M - Cost of Capital" sheetId="41" r:id="rId20"/>
    <sheet name="WS N - Sale of Plant Held" sheetId="21" r:id="rId21"/>
    <sheet name="WS O - PBOP" sheetId="48" r:id="rId22"/>
    <sheet name="APCo - WS P Dep. Rates" sheetId="59" r:id="rId23"/>
    <sheet name="IMC - WS P Dep. Rates" sheetId="60" r:id="rId24"/>
    <sheet name="KGP - WS P Dep. Rates" sheetId="61" r:id="rId25"/>
    <sheet name="KPC - WS P Dep. Rates" sheetId="62" r:id="rId26"/>
    <sheet name="OPC - WS P Dep. Rates" sheetId="63" r:id="rId27"/>
    <sheet name="WPC-WS P Dep. Rates" sheetId="64" r:id="rId28"/>
    <sheet name="WS Q NITS" sheetId="32" r:id="rId29"/>
    <sheet name="WS Q Schedule 12" sheetId="47" r:id="rId30"/>
    <sheet name="WSQ Schedule 1A" sheetId="49" r:id="rId31"/>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 localSheetId="6">#REF!</definedName>
    <definedName name="APCO">#REF!</definedName>
    <definedName name="APCo_Proj_Allocators" localSheetId="6">#REF!</definedName>
    <definedName name="APCo_Proj_Allocators">#REF!</definedName>
    <definedName name="APCo_TU_Allocators" localSheetId="6">#REF!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EADA">#REF!</definedName>
    <definedName name="HEADB">#REF!</definedName>
    <definedName name="HEADC">#REF!</definedName>
    <definedName name="HEADD">#REF!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#REF!</definedName>
    <definedName name="NP_h">#REF!</definedName>
    <definedName name="NP_h1" localSheetId="6">#REF!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 localSheetId="6">#REF!</definedName>
    <definedName name="OFPCBLKW">#REF!</definedName>
    <definedName name="OFPKBILLKWH" localSheetId="6">#REF!</definedName>
    <definedName name="OFPKBILLKWH">#REF!</definedName>
    <definedName name="OFPKCGNKWH" localSheetId="6">#REF!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AGEA">#REF!</definedName>
    <definedName name="PAGEB">#REF!</definedName>
    <definedName name="PAGEC">#REF!</definedName>
    <definedName name="PAGED">#REF!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TCOS!$A$1:$L$393</definedName>
    <definedName name="_xlnm.Print_Area" localSheetId="27">'WPC-WS P Dep. Rates'!#REF!</definedName>
    <definedName name="_xlnm.Print_Area" localSheetId="6">'WS B-3-A'!$A$1:$N$58</definedName>
    <definedName name="_xlnm.Print_Area" localSheetId="12">'WS G  State Tax Rate'!$A$1:$H$51</definedName>
    <definedName name="_xlnm.Print_Area" localSheetId="21">'WS O - PBOP'!$A$1:$K$57</definedName>
    <definedName name="_xlnm.Print_Area">#REF!</definedName>
    <definedName name="_xlnm.Print_Titles" localSheetId="27">'WPC-WS P Dep. Rates'!#REF!</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8" hidden="1">'WS C  - Working Capital'!$A$10:$N$99</definedName>
    <definedName name="Z_3768C7C8_9953_11DA_B318_000FB55D51DC_.wvu.PrintTitles" localSheetId="8" hidden="1">'WS C  - Working Capital'!#REF!</definedName>
    <definedName name="Z_3768C7C8_9953_11DA_B318_000FB55D51DC_.wvu.Rows" localSheetId="8" hidden="1">'WS C  - Working Capital'!#REF!</definedName>
    <definedName name="Z_3BDD6235_B127_4929_8311_BDAF7BB89818_.wvu.PrintArea" localSheetId="8" hidden="1">'WS C  - Working Capital'!$A$10:$N$99</definedName>
    <definedName name="Z_3BDD6235_B127_4929_8311_BDAF7BB89818_.wvu.PrintTitles" localSheetId="8" hidden="1">'WS C  - Working Capital'!#REF!</definedName>
    <definedName name="Z_3BDD6235_B127_4929_8311_BDAF7BB89818_.wvu.Rows" localSheetId="8" hidden="1">'WS C  - Working Capital'!#REF!</definedName>
    <definedName name="Z_B0241363_5C8A_48FC_89A6_56D55586BABE_.wvu.PrintArea" localSheetId="8" hidden="1">'WS C  - Working Capital'!$A$10:$N$99</definedName>
    <definedName name="Z_B0241363_5C8A_48FC_89A6_56D55586BABE_.wvu.PrintTitles" localSheetId="8" hidden="1">'WS C  - Working Capital'!#REF!</definedName>
    <definedName name="Z_B0241363_5C8A_48FC_89A6_56D55586BABE_.wvu.Rows" localSheetId="8" hidden="1">'WS C  - Working Capital'!#REF!</definedName>
    <definedName name="Z_C0EA0F9F_7310_4201_82C9_7B8FC8DB9137_.wvu.PrintArea" localSheetId="8" hidden="1">'WS C  - Working Capital'!$A$10:$N$99</definedName>
    <definedName name="Z_C0EA0F9F_7310_4201_82C9_7B8FC8DB9137_.wvu.PrintTitles" localSheetId="8" hidden="1">'WS C  - Working Capital'!#REF!</definedName>
    <definedName name="Z_C0EA0F9F_7310_4201_82C9_7B8FC8DB9137_.wvu.Rows" localSheetId="8" hidden="1">'WS C  - Working Capital'!#REF!</definedName>
    <definedName name="Z_C5140E12_E05E_4473_9142_42F37320A417_.wvu.Cols" localSheetId="14" hidden="1">'WS H-1-Detail of Tax Amts'!#REF!</definedName>
    <definedName name="Z_C5140E12_E05E_4473_9142_42F37320A417_.wvu.PrintArea" localSheetId="14" hidden="1">'WS H-1-Detail of Tax Amts'!$A$3:$F$115</definedName>
    <definedName name="Z_C5140E12_E05E_4473_9142_42F37320A417_.wvu.PrintArea" localSheetId="16" hidden="1">'WS J PROJECTED RTEP RR'!$A$3:$O$80</definedName>
    <definedName name="Z_C5140E12_E05E_4473_9142_42F37320A417_.wvu.PrintTitles" localSheetId="14" hidden="1">'WS H-1-Detail of Tax Amts'!$3:$7</definedName>
    <definedName name="Zip" localSheetId="6">#REF!</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27" i="20" l="1"/>
  <c r="C1528" i="20" s="1"/>
  <c r="C1529" i="20" s="1"/>
  <c r="C1530" i="20" s="1"/>
  <c r="C1531" i="20" s="1"/>
  <c r="C1532" i="20" s="1"/>
  <c r="C1533" i="20" s="1"/>
  <c r="C1534" i="20" s="1"/>
  <c r="C1535" i="20" s="1"/>
  <c r="C1536" i="20" s="1"/>
  <c r="C1537" i="20" s="1"/>
  <c r="C1538" i="20" s="1"/>
  <c r="C1539" i="20" s="1"/>
  <c r="C1540" i="20" s="1"/>
  <c r="C1541" i="20" s="1"/>
  <c r="C1542" i="20" s="1"/>
  <c r="C1543" i="20" s="1"/>
  <c r="C1544" i="20" s="1"/>
  <c r="C1545" i="20" s="1"/>
  <c r="C1546" i="20" s="1"/>
  <c r="C1547" i="20" s="1"/>
  <c r="C1548" i="20" s="1"/>
  <c r="C1549" i="20" s="1"/>
  <c r="C1550" i="20" s="1"/>
  <c r="C1551" i="20" s="1"/>
  <c r="C1552" i="20" s="1"/>
  <c r="C1553" i="20" s="1"/>
  <c r="C1554" i="20" s="1"/>
  <c r="C1555" i="20" s="1"/>
  <c r="C1556" i="20" s="1"/>
  <c r="C1557" i="20" s="1"/>
  <c r="C1558" i="20" s="1"/>
  <c r="C1559" i="20" s="1"/>
  <c r="C1560" i="20" s="1"/>
  <c r="C1561" i="20" s="1"/>
  <c r="C1562" i="20" s="1"/>
  <c r="C1563" i="20" s="1"/>
  <c r="C1564" i="20" s="1"/>
  <c r="C1565" i="20" s="1"/>
  <c r="C1566" i="20" s="1"/>
  <c r="C1567" i="20" s="1"/>
  <c r="C1568" i="20" s="1"/>
  <c r="C1569" i="20" s="1"/>
  <c r="C1570" i="20" s="1"/>
  <c r="C1571" i="20" s="1"/>
  <c r="C1572" i="20" s="1"/>
  <c r="C1573" i="20" s="1"/>
  <c r="C1574" i="20" s="1"/>
  <c r="C1575" i="20" s="1"/>
  <c r="C1576" i="20" s="1"/>
  <c r="C1577" i="20" s="1"/>
  <c r="C1578" i="20" s="1"/>
  <c r="C1579" i="20" s="1"/>
  <c r="C1580" i="20" s="1"/>
  <c r="C1581" i="20" s="1"/>
  <c r="C1582" i="20" s="1"/>
  <c r="C1583" i="20" s="1"/>
  <c r="C1584" i="20" s="1"/>
  <c r="C1585" i="20" s="1"/>
  <c r="C1586" i="20" s="1"/>
  <c r="K1522" i="20"/>
  <c r="I1521" i="20"/>
  <c r="O1508" i="20"/>
  <c r="N1508" i="20"/>
  <c r="C1438" i="20"/>
  <c r="C1439" i="20" s="1"/>
  <c r="C1440" i="20" s="1"/>
  <c r="C1441" i="20" s="1"/>
  <c r="C1442" i="20" s="1"/>
  <c r="C1443" i="20" s="1"/>
  <c r="C1444" i="20" s="1"/>
  <c r="C1445" i="20" s="1"/>
  <c r="C1446" i="20" s="1"/>
  <c r="C1447" i="20" s="1"/>
  <c r="C1448" i="20" s="1"/>
  <c r="C1449" i="20" s="1"/>
  <c r="C1450" i="20" s="1"/>
  <c r="C1451" i="20" s="1"/>
  <c r="C1452" i="20" s="1"/>
  <c r="C1453" i="20" s="1"/>
  <c r="C1454" i="20" s="1"/>
  <c r="C1455" i="20" s="1"/>
  <c r="C1456" i="20" s="1"/>
  <c r="C1457" i="20" s="1"/>
  <c r="C1458" i="20" s="1"/>
  <c r="C1459" i="20" s="1"/>
  <c r="C1460" i="20" s="1"/>
  <c r="C1461" i="20" s="1"/>
  <c r="C1462" i="20" s="1"/>
  <c r="C1463" i="20" s="1"/>
  <c r="C1464" i="20" s="1"/>
  <c r="C1465" i="20" s="1"/>
  <c r="C1466" i="20" s="1"/>
  <c r="C1467" i="20" s="1"/>
  <c r="C1468" i="20" s="1"/>
  <c r="C1469" i="20" s="1"/>
  <c r="C1470" i="20" s="1"/>
  <c r="C1471" i="20" s="1"/>
  <c r="C1472" i="20" s="1"/>
  <c r="C1473" i="20" s="1"/>
  <c r="C1474" i="20" s="1"/>
  <c r="C1475" i="20" s="1"/>
  <c r="C1476" i="20" s="1"/>
  <c r="C1477" i="20" s="1"/>
  <c r="C1478" i="20" s="1"/>
  <c r="C1479" i="20" s="1"/>
  <c r="C1480" i="20" s="1"/>
  <c r="C1481" i="20" s="1"/>
  <c r="C1482" i="20" s="1"/>
  <c r="C1483" i="20" s="1"/>
  <c r="C1484" i="20" s="1"/>
  <c r="C1485" i="20" s="1"/>
  <c r="C1486" i="20" s="1"/>
  <c r="C1487" i="20" s="1"/>
  <c r="C1488" i="20" s="1"/>
  <c r="C1489" i="20" s="1"/>
  <c r="C1490" i="20" s="1"/>
  <c r="C1491" i="20" s="1"/>
  <c r="C1492" i="20" s="1"/>
  <c r="C1493" i="20" s="1"/>
  <c r="C1494" i="20" s="1"/>
  <c r="C1495" i="20" s="1"/>
  <c r="C1496" i="20" s="1"/>
  <c r="C1497" i="20" s="1"/>
  <c r="K1433" i="20"/>
  <c r="I1432" i="20"/>
  <c r="O1419" i="20"/>
  <c r="N1419" i="20"/>
  <c r="D1527" i="20" l="1"/>
  <c r="D1438" i="20"/>
  <c r="F36" i="10" l="1"/>
  <c r="F23" i="10"/>
  <c r="F19" i="10"/>
  <c r="F15" i="10"/>
  <c r="F11" i="10"/>
  <c r="F32" i="10" l="1"/>
  <c r="A8" i="32" l="1"/>
  <c r="E72" i="41" l="1"/>
  <c r="F40" i="10" l="1"/>
  <c r="K92" i="6"/>
  <c r="K91" i="6"/>
  <c r="K90" i="6"/>
  <c r="K89" i="6"/>
  <c r="K87" i="6"/>
  <c r="K84" i="6"/>
  <c r="K83" i="6"/>
  <c r="K82" i="6"/>
  <c r="K80" i="6"/>
  <c r="K79" i="6"/>
  <c r="K78" i="6"/>
  <c r="K77" i="6"/>
  <c r="K76" i="6"/>
  <c r="K75" i="6"/>
  <c r="K74" i="6"/>
  <c r="K60" i="6"/>
  <c r="K59" i="6"/>
  <c r="K58" i="6"/>
  <c r="K57" i="6"/>
  <c r="K55" i="6"/>
  <c r="K52" i="6"/>
  <c r="K51" i="6"/>
  <c r="K50" i="6"/>
  <c r="K48" i="6"/>
  <c r="K47" i="6"/>
  <c r="K46" i="6"/>
  <c r="K45" i="6"/>
  <c r="K44" i="6"/>
  <c r="K43" i="6"/>
  <c r="K42" i="6"/>
  <c r="F38" i="57" l="1"/>
  <c r="D38" i="57"/>
  <c r="H36" i="57"/>
  <c r="L33" i="57"/>
  <c r="N33" i="57" s="1"/>
  <c r="H33" i="57"/>
  <c r="J31" i="57"/>
  <c r="J36" i="57" s="1"/>
  <c r="L36" i="57" s="1"/>
  <c r="N36" i="57" s="1"/>
  <c r="H31" i="57"/>
  <c r="F27" i="57"/>
  <c r="D24" i="57"/>
  <c r="D25" i="57" s="1"/>
  <c r="L21" i="57"/>
  <c r="N21" i="57" s="1"/>
  <c r="H21" i="57"/>
  <c r="L19" i="57"/>
  <c r="N19" i="57" s="1"/>
  <c r="H19" i="57"/>
  <c r="J17" i="57"/>
  <c r="J25" i="57" s="1"/>
  <c r="D17" i="57"/>
  <c r="A16" i="57"/>
  <c r="A17" i="57" s="1"/>
  <c r="A19" i="57" s="1"/>
  <c r="A21" i="57" s="1"/>
  <c r="A23" i="57" s="1"/>
  <c r="A24" i="57" s="1"/>
  <c r="A25" i="57" s="1"/>
  <c r="A27" i="57" s="1"/>
  <c r="A31" i="57" s="1"/>
  <c r="A33" i="57" s="1"/>
  <c r="A36" i="57" s="1"/>
  <c r="A38" i="57" s="1"/>
  <c r="D27" i="57" l="1"/>
  <c r="L25" i="57"/>
  <c r="N25" i="57" s="1"/>
  <c r="J27" i="57"/>
  <c r="H17" i="57"/>
  <c r="H25" i="57"/>
  <c r="L17" i="57"/>
  <c r="J38" i="57"/>
  <c r="L31" i="57"/>
  <c r="L27" i="57" l="1"/>
  <c r="N17" i="57"/>
  <c r="N27" i="57" s="1"/>
  <c r="L38" i="57"/>
  <c r="N31" i="57"/>
  <c r="N38" i="57" s="1"/>
  <c r="G42" i="41" l="1"/>
  <c r="E42" i="41"/>
  <c r="D42" i="41"/>
  <c r="D23" i="41"/>
  <c r="C23" i="41" l="1"/>
  <c r="C42" i="41"/>
  <c r="E23" i="41"/>
  <c r="F42" i="41"/>
  <c r="F23" i="41"/>
  <c r="F42" i="35" l="1"/>
  <c r="F23" i="35"/>
  <c r="B39" i="49" l="1"/>
  <c r="B40" i="49" s="1"/>
  <c r="B41" i="49" s="1"/>
  <c r="B42" i="49" s="1"/>
  <c r="B43" i="49" s="1"/>
  <c r="B44" i="49" s="1"/>
  <c r="B45" i="49" s="1"/>
  <c r="B46" i="49" s="1"/>
  <c r="B47" i="49" s="1"/>
  <c r="B48" i="49" s="1"/>
  <c r="B49" i="49" s="1"/>
  <c r="B50" i="49" s="1"/>
  <c r="B36" i="49"/>
  <c r="B21" i="49"/>
  <c r="B22" i="49" s="1"/>
  <c r="B23" i="49" s="1"/>
  <c r="B24" i="49" s="1"/>
  <c r="B25" i="49" s="1"/>
  <c r="B26" i="49" s="1"/>
  <c r="B27" i="49" s="1"/>
  <c r="B28" i="49" s="1"/>
  <c r="B29" i="49" s="1"/>
  <c r="B30" i="49" s="1"/>
  <c r="B31" i="49" s="1"/>
  <c r="B32" i="49" s="1"/>
  <c r="B39" i="47"/>
  <c r="B40" i="47" s="1"/>
  <c r="B41" i="47" s="1"/>
  <c r="B42" i="47" s="1"/>
  <c r="B43" i="47" s="1"/>
  <c r="B44" i="47" s="1"/>
  <c r="B45" i="47" s="1"/>
  <c r="B46" i="47" s="1"/>
  <c r="B47" i="47" s="1"/>
  <c r="B48" i="47" s="1"/>
  <c r="B49" i="47" s="1"/>
  <c r="B50" i="47" s="1"/>
  <c r="B36" i="47"/>
  <c r="B21" i="47"/>
  <c r="B22" i="47" s="1"/>
  <c r="B23" i="47" s="1"/>
  <c r="B24" i="47" s="1"/>
  <c r="B25" i="47" s="1"/>
  <c r="B26" i="47" s="1"/>
  <c r="B27" i="47" s="1"/>
  <c r="B28" i="47" s="1"/>
  <c r="B29" i="47" s="1"/>
  <c r="B30" i="47" s="1"/>
  <c r="B31" i="47" s="1"/>
  <c r="B32" i="47" s="1"/>
  <c r="B39" i="32"/>
  <c r="B36" i="32"/>
  <c r="B21" i="32"/>
  <c r="B40" i="32" l="1"/>
  <c r="B41" i="32" s="1"/>
  <c r="B42" i="32" s="1"/>
  <c r="B43" i="32" s="1"/>
  <c r="B44" i="32" s="1"/>
  <c r="B45" i="32" s="1"/>
  <c r="B46" i="32" s="1"/>
  <c r="B47" i="32" s="1"/>
  <c r="B48" i="32" s="1"/>
  <c r="B49" i="32" s="1"/>
  <c r="B50" i="32" s="1"/>
  <c r="B22" i="32"/>
  <c r="B23" i="32" s="1"/>
  <c r="B24" i="32" s="1"/>
  <c r="B25" i="32" s="1"/>
  <c r="B26" i="32" s="1"/>
  <c r="B27" i="32" s="1"/>
  <c r="B28" i="32" s="1"/>
  <c r="B29" i="32" s="1"/>
  <c r="B30" i="32" s="1"/>
  <c r="B31" i="32" s="1"/>
  <c r="B32" i="32" s="1"/>
  <c r="A17" i="49" l="1"/>
  <c r="A17" i="47"/>
  <c r="D8" i="47" l="1"/>
  <c r="A8" i="49"/>
  <c r="A8" i="47" l="1"/>
  <c r="F86" i="35" l="1"/>
  <c r="O48" i="50" l="1"/>
  <c r="N48" i="50"/>
  <c r="L48" i="50"/>
  <c r="K48" i="50"/>
  <c r="J48" i="50"/>
  <c r="I48" i="50"/>
  <c r="P45" i="50"/>
  <c r="M48" i="50"/>
  <c r="P44" i="50"/>
  <c r="P40" i="50"/>
  <c r="Q39" i="50"/>
  <c r="P38" i="50"/>
  <c r="P37" i="50"/>
  <c r="Q36" i="50"/>
  <c r="Q35" i="50"/>
  <c r="P34" i="50"/>
  <c r="O29" i="50"/>
  <c r="N29" i="50"/>
  <c r="M29" i="50"/>
  <c r="L29" i="50"/>
  <c r="K29" i="50"/>
  <c r="J29" i="50"/>
  <c r="I29" i="50"/>
  <c r="P26" i="50"/>
  <c r="P25" i="50"/>
  <c r="P21" i="50"/>
  <c r="Q20" i="50"/>
  <c r="P19" i="50"/>
  <c r="P18" i="50"/>
  <c r="Q17" i="50"/>
  <c r="Q16" i="50"/>
  <c r="P15" i="50"/>
  <c r="Q14" i="50"/>
  <c r="P13" i="50"/>
  <c r="Q48" i="50" l="1"/>
  <c r="P48" i="50"/>
  <c r="Q29" i="50"/>
  <c r="P29" i="50"/>
  <c r="D74" i="41" l="1"/>
  <c r="E71" i="41"/>
  <c r="E68" i="41"/>
  <c r="E67" i="41"/>
  <c r="E88" i="35"/>
  <c r="D88" i="35"/>
  <c r="E20" i="48"/>
  <c r="L18" i="2"/>
  <c r="G215" i="2"/>
  <c r="L215" i="2" s="1"/>
  <c r="L253" i="2"/>
  <c r="D1349" i="20"/>
  <c r="C1349" i="20"/>
  <c r="C1350" i="20" s="1"/>
  <c r="C1351" i="20" s="1"/>
  <c r="C1352" i="20" s="1"/>
  <c r="C1353" i="20" s="1"/>
  <c r="C1354" i="20" s="1"/>
  <c r="C1355" i="20" s="1"/>
  <c r="C1356" i="20" s="1"/>
  <c r="C1357" i="20" s="1"/>
  <c r="C1358" i="20" s="1"/>
  <c r="C1359" i="20" s="1"/>
  <c r="C1360" i="20" s="1"/>
  <c r="C1361" i="20" s="1"/>
  <c r="C1362" i="20" s="1"/>
  <c r="C1363" i="20" s="1"/>
  <c r="C1364" i="20" s="1"/>
  <c r="C1365" i="20" s="1"/>
  <c r="C1366" i="20" s="1"/>
  <c r="C1367" i="20" s="1"/>
  <c r="C1368" i="20" s="1"/>
  <c r="C1369" i="20" s="1"/>
  <c r="C1370" i="20" s="1"/>
  <c r="C1371" i="20" s="1"/>
  <c r="C1372" i="20" s="1"/>
  <c r="C1373" i="20" s="1"/>
  <c r="C1374" i="20" s="1"/>
  <c r="C1375" i="20" s="1"/>
  <c r="C1376" i="20" s="1"/>
  <c r="C1377" i="20" s="1"/>
  <c r="C1378" i="20" s="1"/>
  <c r="C1379" i="20" s="1"/>
  <c r="C1380" i="20" s="1"/>
  <c r="C1381" i="20" s="1"/>
  <c r="C1382" i="20" s="1"/>
  <c r="C1383" i="20" s="1"/>
  <c r="C1384" i="20" s="1"/>
  <c r="C1385" i="20" s="1"/>
  <c r="C1386" i="20" s="1"/>
  <c r="C1387" i="20" s="1"/>
  <c r="C1388" i="20" s="1"/>
  <c r="C1389" i="20" s="1"/>
  <c r="C1390" i="20" s="1"/>
  <c r="C1391" i="20" s="1"/>
  <c r="C1392" i="20" s="1"/>
  <c r="C1393" i="20" s="1"/>
  <c r="C1394" i="20" s="1"/>
  <c r="C1395" i="20" s="1"/>
  <c r="C1396" i="20" s="1"/>
  <c r="C1397" i="20" s="1"/>
  <c r="C1398" i="20" s="1"/>
  <c r="C1399" i="20" s="1"/>
  <c r="C1400" i="20" s="1"/>
  <c r="C1401" i="20" s="1"/>
  <c r="C1402" i="20" s="1"/>
  <c r="C1403" i="20" s="1"/>
  <c r="C1404" i="20" s="1"/>
  <c r="C1405" i="20" s="1"/>
  <c r="C1406" i="20" s="1"/>
  <c r="C1407" i="20" s="1"/>
  <c r="C1408" i="20" s="1"/>
  <c r="K1344" i="20"/>
  <c r="I1343" i="20"/>
  <c r="O1330" i="20"/>
  <c r="N1330" i="20"/>
  <c r="G19" i="41"/>
  <c r="G167" i="2"/>
  <c r="G44" i="48"/>
  <c r="B10" i="49"/>
  <c r="F10" i="49"/>
  <c r="G22" i="49"/>
  <c r="G23" i="49" s="1"/>
  <c r="G24" i="49" s="1"/>
  <c r="G25" i="49" s="1"/>
  <c r="G26" i="49" s="1"/>
  <c r="G27" i="49" s="1"/>
  <c r="G28" i="49" s="1"/>
  <c r="G29" i="49" s="1"/>
  <c r="G30" i="49" s="1"/>
  <c r="G31" i="49" s="1"/>
  <c r="G32" i="49" s="1"/>
  <c r="B10" i="47"/>
  <c r="F10" i="47"/>
  <c r="G22" i="47"/>
  <c r="G23" i="47" s="1"/>
  <c r="G24" i="47" s="1"/>
  <c r="G25" i="47" s="1"/>
  <c r="G26" i="47" s="1"/>
  <c r="G27" i="47" s="1"/>
  <c r="G28" i="47" s="1"/>
  <c r="G29" i="47" s="1"/>
  <c r="G30" i="47" s="1"/>
  <c r="G31" i="47" s="1"/>
  <c r="G32" i="47" s="1"/>
  <c r="B10" i="32"/>
  <c r="F10" i="32"/>
  <c r="G22" i="32"/>
  <c r="G23" i="32" s="1"/>
  <c r="G24" i="32" s="1"/>
  <c r="G25" i="32" s="1"/>
  <c r="G26" i="32" s="1"/>
  <c r="G27" i="32" s="1"/>
  <c r="G28" i="32" s="1"/>
  <c r="G29" i="32" s="1"/>
  <c r="G30" i="32" s="1"/>
  <c r="G31" i="32" s="1"/>
  <c r="G32" i="32" s="1"/>
  <c r="A4" i="48"/>
  <c r="A6" i="48"/>
  <c r="B14" i="48"/>
  <c r="F17" i="48"/>
  <c r="A23" i="48"/>
  <c r="A24" i="48" s="1"/>
  <c r="A25" i="48" s="1"/>
  <c r="A26" i="48" s="1"/>
  <c r="A27" i="48" s="1"/>
  <c r="K41" i="48"/>
  <c r="A4" i="21"/>
  <c r="A6" i="21"/>
  <c r="O17" i="21"/>
  <c r="Q17" i="21"/>
  <c r="A22" i="21"/>
  <c r="A27" i="21" s="1"/>
  <c r="A33" i="21" s="1"/>
  <c r="D217" i="2" s="1"/>
  <c r="O22" i="21"/>
  <c r="Q22" i="21"/>
  <c r="O27" i="21"/>
  <c r="Q27" i="21"/>
  <c r="K33" i="21"/>
  <c r="A2" i="41"/>
  <c r="A4" i="41"/>
  <c r="A11" i="41"/>
  <c r="A12" i="41" s="1"/>
  <c r="A13" i="41" s="1"/>
  <c r="A14" i="41" s="1"/>
  <c r="A15" i="41" s="1"/>
  <c r="A16" i="41" s="1"/>
  <c r="A17" i="41" s="1"/>
  <c r="A18" i="41" s="1"/>
  <c r="A19" i="41" s="1"/>
  <c r="A20" i="41" s="1"/>
  <c r="A21" i="41" s="1"/>
  <c r="A22" i="41" s="1"/>
  <c r="A23" i="41" s="1"/>
  <c r="E264" i="2" s="1"/>
  <c r="L265" i="2"/>
  <c r="G272" i="2" s="1"/>
  <c r="J272" i="2" s="1"/>
  <c r="B48" i="41"/>
  <c r="C63" i="41"/>
  <c r="B85" i="41"/>
  <c r="B86" i="41"/>
  <c r="B87" i="41"/>
  <c r="E88" i="41"/>
  <c r="E89" i="41"/>
  <c r="B91" i="41"/>
  <c r="B92" i="41"/>
  <c r="B93" i="41"/>
  <c r="E94" i="41"/>
  <c r="E95" i="41"/>
  <c r="B97" i="41"/>
  <c r="B98" i="41"/>
  <c r="B99" i="41"/>
  <c r="C100" i="41"/>
  <c r="C101" i="41" s="1"/>
  <c r="D100" i="41"/>
  <c r="D101" i="41" s="1"/>
  <c r="D104" i="41" s="1"/>
  <c r="B4" i="14"/>
  <c r="B6" i="14"/>
  <c r="A4" i="13"/>
  <c r="A6" i="13"/>
  <c r="O8" i="13"/>
  <c r="P8" i="13"/>
  <c r="C11" i="13"/>
  <c r="C14" i="13"/>
  <c r="F16" i="13"/>
  <c r="F18" i="13" s="1"/>
  <c r="E23" i="13" s="1"/>
  <c r="C18" i="13"/>
  <c r="M20" i="13"/>
  <c r="M23" i="13"/>
  <c r="C26" i="13"/>
  <c r="C32" i="13"/>
  <c r="C42" i="13"/>
  <c r="C43" i="13"/>
  <c r="C53" i="13"/>
  <c r="C55" i="13"/>
  <c r="C58" i="13"/>
  <c r="C60" i="13"/>
  <c r="C62" i="13"/>
  <c r="C65" i="13"/>
  <c r="C66" i="13"/>
  <c r="C68" i="13"/>
  <c r="C69" i="13"/>
  <c r="C71" i="13"/>
  <c r="O83" i="13"/>
  <c r="P83" i="13"/>
  <c r="L89" i="13"/>
  <c r="L97" i="13"/>
  <c r="J99" i="13"/>
  <c r="E102" i="13" s="1"/>
  <c r="C102" i="13"/>
  <c r="D102" i="13"/>
  <c r="M102" i="13"/>
  <c r="O102" i="13"/>
  <c r="C103" i="13"/>
  <c r="M103" i="13"/>
  <c r="O103" i="13"/>
  <c r="C104" i="13"/>
  <c r="M104" i="13"/>
  <c r="O104" i="13"/>
  <c r="C105" i="13"/>
  <c r="M105" i="13"/>
  <c r="O105" i="13"/>
  <c r="C106" i="13"/>
  <c r="M106" i="13"/>
  <c r="O106" i="13"/>
  <c r="C107" i="13"/>
  <c r="M107" i="13"/>
  <c r="O107" i="13"/>
  <c r="C108" i="13"/>
  <c r="M108" i="13"/>
  <c r="O108" i="13"/>
  <c r="C109" i="13"/>
  <c r="M109" i="13"/>
  <c r="O109" i="13"/>
  <c r="C110" i="13"/>
  <c r="M110" i="13"/>
  <c r="O110" i="13"/>
  <c r="C111" i="13"/>
  <c r="M111" i="13"/>
  <c r="O111" i="13"/>
  <c r="C112" i="13"/>
  <c r="M112" i="13"/>
  <c r="O112" i="13"/>
  <c r="C113" i="13"/>
  <c r="M113" i="13"/>
  <c r="O113" i="13"/>
  <c r="C114" i="13"/>
  <c r="M114" i="13"/>
  <c r="O114" i="13"/>
  <c r="C115" i="13"/>
  <c r="M115" i="13"/>
  <c r="O115" i="13"/>
  <c r="C116" i="13"/>
  <c r="M116" i="13"/>
  <c r="O116" i="13"/>
  <c r="C117" i="13"/>
  <c r="M117" i="13"/>
  <c r="O117" i="13"/>
  <c r="C118" i="13"/>
  <c r="M118" i="13"/>
  <c r="O118" i="13"/>
  <c r="C119" i="13"/>
  <c r="M119" i="13"/>
  <c r="O119" i="13"/>
  <c r="C120" i="13"/>
  <c r="M120" i="13"/>
  <c r="O120" i="13"/>
  <c r="C121" i="13"/>
  <c r="M121" i="13"/>
  <c r="O121" i="13"/>
  <c r="C122" i="13"/>
  <c r="M122" i="13"/>
  <c r="O122" i="13"/>
  <c r="C123" i="13"/>
  <c r="M123" i="13"/>
  <c r="O123" i="13"/>
  <c r="C124" i="13"/>
  <c r="M124" i="13"/>
  <c r="O124" i="13"/>
  <c r="C125" i="13"/>
  <c r="M125" i="13"/>
  <c r="O125" i="13"/>
  <c r="C126" i="13"/>
  <c r="M126" i="13"/>
  <c r="O126" i="13"/>
  <c r="C127" i="13"/>
  <c r="M127" i="13"/>
  <c r="O127" i="13"/>
  <c r="C128" i="13"/>
  <c r="M128" i="13"/>
  <c r="O128" i="13"/>
  <c r="C129" i="13"/>
  <c r="M129" i="13"/>
  <c r="O129" i="13"/>
  <c r="C130" i="13"/>
  <c r="M130" i="13"/>
  <c r="O130" i="13"/>
  <c r="C131" i="13"/>
  <c r="M131" i="13"/>
  <c r="O131" i="13"/>
  <c r="C132" i="13"/>
  <c r="M132" i="13"/>
  <c r="O132" i="13"/>
  <c r="C133" i="13"/>
  <c r="M133" i="13"/>
  <c r="O133" i="13"/>
  <c r="C134" i="13"/>
  <c r="M134" i="13"/>
  <c r="O134" i="13"/>
  <c r="C135" i="13"/>
  <c r="M135" i="13"/>
  <c r="O135" i="13"/>
  <c r="C136" i="13"/>
  <c r="M136" i="13"/>
  <c r="O136" i="13"/>
  <c r="C137" i="13"/>
  <c r="M137" i="13"/>
  <c r="O137" i="13"/>
  <c r="C138" i="13"/>
  <c r="M138" i="13"/>
  <c r="O138" i="13"/>
  <c r="C139" i="13"/>
  <c r="M139" i="13"/>
  <c r="O139" i="13"/>
  <c r="C140" i="13"/>
  <c r="M140" i="13"/>
  <c r="O140" i="13"/>
  <c r="C141" i="13"/>
  <c r="M141" i="13"/>
  <c r="O141" i="13"/>
  <c r="C142" i="13"/>
  <c r="M142" i="13"/>
  <c r="O142" i="13"/>
  <c r="C143" i="13"/>
  <c r="M143" i="13"/>
  <c r="O143" i="13"/>
  <c r="C144" i="13"/>
  <c r="M144" i="13"/>
  <c r="O144" i="13"/>
  <c r="C145" i="13"/>
  <c r="M145" i="13"/>
  <c r="O145" i="13"/>
  <c r="C146" i="13"/>
  <c r="M146" i="13"/>
  <c r="O146" i="13"/>
  <c r="C147" i="13"/>
  <c r="M147" i="13"/>
  <c r="O147" i="13"/>
  <c r="C148" i="13"/>
  <c r="M148" i="13"/>
  <c r="O148" i="13"/>
  <c r="C149" i="13"/>
  <c r="M149" i="13"/>
  <c r="O149" i="13"/>
  <c r="C150" i="13"/>
  <c r="M150" i="13"/>
  <c r="O150" i="13"/>
  <c r="C151" i="13"/>
  <c r="M151" i="13"/>
  <c r="O151" i="13"/>
  <c r="C152" i="13"/>
  <c r="M152" i="13"/>
  <c r="O152" i="13"/>
  <c r="C153" i="13"/>
  <c r="M153" i="13"/>
  <c r="O153" i="13"/>
  <c r="C154" i="13"/>
  <c r="M154" i="13"/>
  <c r="O154" i="13"/>
  <c r="C155" i="13"/>
  <c r="M155" i="13"/>
  <c r="O155" i="13"/>
  <c r="C156" i="13"/>
  <c r="M156" i="13"/>
  <c r="O156" i="13"/>
  <c r="C157" i="13"/>
  <c r="M157" i="13"/>
  <c r="O157" i="13"/>
  <c r="C158" i="13"/>
  <c r="M158" i="13"/>
  <c r="O158" i="13"/>
  <c r="C159" i="13"/>
  <c r="M159" i="13"/>
  <c r="O159" i="13"/>
  <c r="C160" i="13"/>
  <c r="M160" i="13"/>
  <c r="O160" i="13"/>
  <c r="C161" i="13"/>
  <c r="M161" i="13"/>
  <c r="O161" i="13"/>
  <c r="A4" i="20"/>
  <c r="A6" i="20"/>
  <c r="N8" i="20"/>
  <c r="O8" i="20"/>
  <c r="C11" i="20"/>
  <c r="C14" i="20"/>
  <c r="F16" i="20"/>
  <c r="F18" i="20" s="1"/>
  <c r="E23" i="20" s="1"/>
  <c r="C18" i="20"/>
  <c r="C26" i="20"/>
  <c r="L26" i="20"/>
  <c r="I1520" i="20" s="1"/>
  <c r="C32" i="20"/>
  <c r="C42" i="20"/>
  <c r="C43" i="20"/>
  <c r="C53" i="20"/>
  <c r="C55" i="20"/>
  <c r="C58" i="20"/>
  <c r="C60" i="20"/>
  <c r="C62" i="20"/>
  <c r="C65" i="20"/>
  <c r="C66" i="20"/>
  <c r="C68" i="20"/>
  <c r="C69" i="20"/>
  <c r="C71" i="20"/>
  <c r="N83" i="20"/>
  <c r="O83" i="20"/>
  <c r="I96" i="20"/>
  <c r="K97" i="20"/>
  <c r="C102" i="20"/>
  <c r="C103" i="20" s="1"/>
  <c r="C104" i="20" s="1"/>
  <c r="C105" i="20" s="1"/>
  <c r="C106" i="20" s="1"/>
  <c r="C107" i="20" s="1"/>
  <c r="C108" i="20" s="1"/>
  <c r="C109" i="20" s="1"/>
  <c r="C110" i="20" s="1"/>
  <c r="C111" i="20" s="1"/>
  <c r="C112" i="20" s="1"/>
  <c r="D102" i="20"/>
  <c r="N173" i="20"/>
  <c r="O173" i="20"/>
  <c r="I186" i="20"/>
  <c r="K187" i="20"/>
  <c r="C192" i="20"/>
  <c r="C193" i="20" s="1"/>
  <c r="C194" i="20" s="1"/>
  <c r="C195" i="20" s="1"/>
  <c r="C196" i="20" s="1"/>
  <c r="C197" i="20" s="1"/>
  <c r="C198" i="20" s="1"/>
  <c r="C199" i="20" s="1"/>
  <c r="C200" i="20" s="1"/>
  <c r="C201" i="20" s="1"/>
  <c r="C202" i="20" s="1"/>
  <c r="D192" i="20"/>
  <c r="N262" i="20"/>
  <c r="O262" i="20"/>
  <c r="I275" i="20"/>
  <c r="K276" i="20"/>
  <c r="C281" i="20"/>
  <c r="C282" i="20" s="1"/>
  <c r="C283" i="20" s="1"/>
  <c r="C284" i="20" s="1"/>
  <c r="C285" i="20" s="1"/>
  <c r="D281" i="20"/>
  <c r="N351" i="20"/>
  <c r="O351" i="20"/>
  <c r="I364" i="20"/>
  <c r="K365" i="20"/>
  <c r="C370" i="20"/>
  <c r="C371" i="20" s="1"/>
  <c r="C372" i="20" s="1"/>
  <c r="C373" i="20" s="1"/>
  <c r="C374" i="20" s="1"/>
  <c r="D370" i="20"/>
  <c r="I386" i="20"/>
  <c r="N440" i="20"/>
  <c r="O440" i="20"/>
  <c r="I453" i="20"/>
  <c r="K454" i="20"/>
  <c r="C459" i="20"/>
  <c r="C460" i="20" s="1"/>
  <c r="C461" i="20" s="1"/>
  <c r="C462" i="20" s="1"/>
  <c r="C463" i="20" s="1"/>
  <c r="C464" i="20" s="1"/>
  <c r="C465" i="20" s="1"/>
  <c r="D459" i="20"/>
  <c r="N529" i="20"/>
  <c r="O529" i="20"/>
  <c r="I542" i="20"/>
  <c r="K543" i="20"/>
  <c r="C548" i="20"/>
  <c r="C549" i="20" s="1"/>
  <c r="C550" i="20" s="1"/>
  <c r="C551" i="20" s="1"/>
  <c r="C552" i="20" s="1"/>
  <c r="C553" i="20" s="1"/>
  <c r="D548" i="20"/>
  <c r="N618" i="20"/>
  <c r="O618" i="20"/>
  <c r="I631" i="20"/>
  <c r="K632" i="20"/>
  <c r="C637" i="20"/>
  <c r="C638" i="20" s="1"/>
  <c r="C639" i="20" s="1"/>
  <c r="C640" i="20" s="1"/>
  <c r="C641" i="20" s="1"/>
  <c r="C642" i="20" s="1"/>
  <c r="D637" i="20"/>
  <c r="N707" i="20"/>
  <c r="O707" i="20"/>
  <c r="I720" i="20"/>
  <c r="K721" i="20"/>
  <c r="C726" i="20"/>
  <c r="C727" i="20" s="1"/>
  <c r="C728" i="20" s="1"/>
  <c r="C729" i="20" s="1"/>
  <c r="C730" i="20" s="1"/>
  <c r="C731" i="20" s="1"/>
  <c r="C732" i="20" s="1"/>
  <c r="D726" i="20"/>
  <c r="N796" i="20"/>
  <c r="O796" i="20"/>
  <c r="I809" i="20"/>
  <c r="K810" i="20"/>
  <c r="C815" i="20"/>
  <c r="C816" i="20" s="1"/>
  <c r="C817" i="20" s="1"/>
  <c r="C818" i="20" s="1"/>
  <c r="C819" i="20" s="1"/>
  <c r="D815" i="20"/>
  <c r="N885" i="20"/>
  <c r="O885" i="20"/>
  <c r="I898" i="20"/>
  <c r="K899" i="20"/>
  <c r="C904" i="20"/>
  <c r="C905" i="20" s="1"/>
  <c r="C906" i="20" s="1"/>
  <c r="C907" i="20" s="1"/>
  <c r="C908" i="20" s="1"/>
  <c r="C909" i="20" s="1"/>
  <c r="D904" i="20"/>
  <c r="N974" i="20"/>
  <c r="O974" i="20"/>
  <c r="I987" i="20"/>
  <c r="K988" i="20"/>
  <c r="C993" i="20"/>
  <c r="C994" i="20" s="1"/>
  <c r="C995" i="20" s="1"/>
  <c r="C996" i="20" s="1"/>
  <c r="C997" i="20" s="1"/>
  <c r="D993" i="20"/>
  <c r="N1063" i="20"/>
  <c r="O1063" i="20"/>
  <c r="I1076" i="20"/>
  <c r="K1077" i="20"/>
  <c r="C1082" i="20"/>
  <c r="C1083" i="20" s="1"/>
  <c r="C1084" i="20" s="1"/>
  <c r="C1085" i="20" s="1"/>
  <c r="C1086" i="20" s="1"/>
  <c r="D1082" i="20"/>
  <c r="N1152" i="20"/>
  <c r="O1152" i="20"/>
  <c r="I1165" i="20"/>
  <c r="K1166" i="20"/>
  <c r="C1171" i="20"/>
  <c r="C1172" i="20" s="1"/>
  <c r="C1173" i="20" s="1"/>
  <c r="C1174" i="20" s="1"/>
  <c r="D1171" i="20"/>
  <c r="N1241" i="20"/>
  <c r="O1241" i="20"/>
  <c r="I1254" i="20"/>
  <c r="K1255" i="20"/>
  <c r="C1260" i="20"/>
  <c r="C1261" i="20" s="1"/>
  <c r="C1262" i="20" s="1"/>
  <c r="C1263" i="20" s="1"/>
  <c r="C1264" i="20" s="1"/>
  <c r="C1265" i="20" s="1"/>
  <c r="D1260" i="20"/>
  <c r="A4" i="12"/>
  <c r="A6" i="12"/>
  <c r="A4" i="30"/>
  <c r="A6" i="30"/>
  <c r="A15" i="30"/>
  <c r="A25" i="30" s="1"/>
  <c r="A27" i="30" s="1"/>
  <c r="A33" i="30" s="1"/>
  <c r="A44" i="30" s="1"/>
  <c r="A51" i="30" s="1"/>
  <c r="A60" i="30" s="1"/>
  <c r="A61" i="30" s="1"/>
  <c r="A63" i="30" s="1"/>
  <c r="A65" i="30" s="1"/>
  <c r="A71" i="30" s="1"/>
  <c r="A72" i="30" s="1"/>
  <c r="A74" i="30" s="1"/>
  <c r="A75" i="30" s="1"/>
  <c r="A79" i="30" s="1"/>
  <c r="A83" i="30" s="1"/>
  <c r="A93" i="30" s="1"/>
  <c r="A100" i="30" s="1"/>
  <c r="A103" i="30" s="1"/>
  <c r="A107" i="30" s="1"/>
  <c r="A110" i="30" s="1"/>
  <c r="A113" i="30" s="1"/>
  <c r="I29" i="30"/>
  <c r="I30" i="30"/>
  <c r="I31" i="30"/>
  <c r="I32" i="30"/>
  <c r="I35" i="30"/>
  <c r="I36" i="30"/>
  <c r="I37" i="30"/>
  <c r="I38" i="30"/>
  <c r="I39" i="30"/>
  <c r="I40" i="30"/>
  <c r="I41" i="30"/>
  <c r="I42" i="30"/>
  <c r="I46" i="30"/>
  <c r="I47" i="30"/>
  <c r="I48" i="30"/>
  <c r="I49" i="30"/>
  <c r="I52" i="30"/>
  <c r="I53" i="30"/>
  <c r="E71" i="30"/>
  <c r="E31" i="11" s="1"/>
  <c r="M31" i="11" s="1"/>
  <c r="A4" i="11"/>
  <c r="A6" i="11"/>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2" i="11" s="1"/>
  <c r="A43" i="11" s="1"/>
  <c r="E193" i="2" s="1"/>
  <c r="C50" i="11"/>
  <c r="M54" i="11"/>
  <c r="C61" i="11"/>
  <c r="M65" i="11"/>
  <c r="A4" i="10"/>
  <c r="A6" i="10"/>
  <c r="F28" i="10"/>
  <c r="F43" i="10" s="1"/>
  <c r="A4" i="9"/>
  <c r="A6" i="9"/>
  <c r="D12" i="9"/>
  <c r="A24" i="9"/>
  <c r="A25" i="9" s="1"/>
  <c r="A26" i="9" s="1"/>
  <c r="A27" i="9" s="1"/>
  <c r="A28" i="9" s="1"/>
  <c r="A29" i="9" s="1"/>
  <c r="A30" i="9" s="1"/>
  <c r="A31" i="9" s="1"/>
  <c r="A32" i="9" s="1"/>
  <c r="A33" i="9" s="1"/>
  <c r="A36" i="9" s="1"/>
  <c r="A37" i="9" s="1"/>
  <c r="A38" i="9" s="1"/>
  <c r="A39" i="9" s="1"/>
  <c r="A40" i="9" s="1"/>
  <c r="A4" i="8"/>
  <c r="A6" i="8"/>
  <c r="B36" i="8" s="1"/>
  <c r="A15" i="8"/>
  <c r="A17" i="8" s="1"/>
  <c r="A19" i="8" s="1"/>
  <c r="A21" i="8" s="1"/>
  <c r="A27" i="8" s="1"/>
  <c r="A29" i="8" s="1"/>
  <c r="A31" i="8" s="1"/>
  <c r="A39" i="8" s="1"/>
  <c r="J29" i="8"/>
  <c r="A4" i="7"/>
  <c r="A6" i="7"/>
  <c r="B26" i="7" s="1"/>
  <c r="C9" i="7"/>
  <c r="B11" i="7"/>
  <c r="A15" i="7"/>
  <c r="A17" i="7" s="1"/>
  <c r="A18" i="7" s="1"/>
  <c r="A19" i="7" s="1"/>
  <c r="A21" i="7" s="1"/>
  <c r="B21" i="7"/>
  <c r="A3" i="6"/>
  <c r="A3" i="7" s="1"/>
  <c r="A4" i="6"/>
  <c r="A6" i="6"/>
  <c r="E12" i="6"/>
  <c r="G12" i="6"/>
  <c r="I12" i="6"/>
  <c r="A17" i="6"/>
  <c r="A21" i="6" s="1"/>
  <c r="A23" i="6" s="1"/>
  <c r="A29" i="6" s="1"/>
  <c r="A31" i="6" s="1"/>
  <c r="A32" i="6" s="1"/>
  <c r="A33" i="6" s="1"/>
  <c r="A39"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71"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I23" i="6"/>
  <c r="G122" i="2" s="1"/>
  <c r="C31" i="6"/>
  <c r="C32" i="6"/>
  <c r="D38" i="6"/>
  <c r="B36" i="6" s="1"/>
  <c r="G65" i="6"/>
  <c r="G31" i="6" s="1"/>
  <c r="D70" i="6"/>
  <c r="B68" i="6" s="1"/>
  <c r="G98" i="6"/>
  <c r="G32" i="6" s="1"/>
  <c r="G33" i="6" s="1"/>
  <c r="G125" i="2" s="1"/>
  <c r="L125" i="2" s="1"/>
  <c r="B1" i="39"/>
  <c r="B3" i="39"/>
  <c r="M10" i="39"/>
  <c r="Q10" i="39"/>
  <c r="C13" i="39"/>
  <c r="D13" i="39"/>
  <c r="E13" i="39"/>
  <c r="F13" i="39"/>
  <c r="C17" i="39"/>
  <c r="D17" i="39"/>
  <c r="I17" i="39"/>
  <c r="J17" i="39"/>
  <c r="K17" i="39"/>
  <c r="A18" i="39"/>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02" i="39" s="1"/>
  <c r="A103" i="39" s="1"/>
  <c r="A104" i="39" s="1"/>
  <c r="A105" i="39" s="1"/>
  <c r="A106" i="39" s="1"/>
  <c r="A107" i="39" s="1"/>
  <c r="C18" i="39"/>
  <c r="D18" i="39"/>
  <c r="I18" i="39"/>
  <c r="J18" i="39"/>
  <c r="K18" i="39"/>
  <c r="C19" i="39"/>
  <c r="D19" i="39"/>
  <c r="I19" i="39"/>
  <c r="J19" i="39"/>
  <c r="K19" i="39"/>
  <c r="C20" i="39"/>
  <c r="D20" i="39"/>
  <c r="I20" i="39"/>
  <c r="J20" i="39"/>
  <c r="K20" i="39"/>
  <c r="C21" i="39"/>
  <c r="D21" i="39"/>
  <c r="I21" i="39"/>
  <c r="J21" i="39"/>
  <c r="K21" i="39"/>
  <c r="C22" i="39"/>
  <c r="D22" i="39"/>
  <c r="I22" i="39"/>
  <c r="J22" i="39"/>
  <c r="K22" i="39"/>
  <c r="C23" i="39"/>
  <c r="D23" i="39"/>
  <c r="I23" i="39"/>
  <c r="J23" i="39"/>
  <c r="K23" i="39"/>
  <c r="C24" i="39"/>
  <c r="D24" i="39"/>
  <c r="I24" i="39"/>
  <c r="J24" i="39"/>
  <c r="K24" i="39"/>
  <c r="C25" i="39"/>
  <c r="D25" i="39"/>
  <c r="I25" i="39"/>
  <c r="J25" i="39"/>
  <c r="K25" i="39"/>
  <c r="C26" i="39"/>
  <c r="D26" i="39"/>
  <c r="I26" i="39"/>
  <c r="J26" i="39"/>
  <c r="K26" i="39"/>
  <c r="C27" i="39"/>
  <c r="D27" i="39"/>
  <c r="I27" i="39"/>
  <c r="J27" i="39"/>
  <c r="K27" i="39"/>
  <c r="C28" i="39"/>
  <c r="D28" i="39"/>
  <c r="I28" i="39"/>
  <c r="J28" i="39"/>
  <c r="K28" i="39"/>
  <c r="C29" i="39"/>
  <c r="D29" i="39"/>
  <c r="I29" i="39"/>
  <c r="J29" i="39"/>
  <c r="K29" i="39"/>
  <c r="C30" i="39"/>
  <c r="D30" i="39"/>
  <c r="I30" i="39"/>
  <c r="J30" i="39"/>
  <c r="K30" i="39"/>
  <c r="C31" i="39"/>
  <c r="D31" i="39"/>
  <c r="I31" i="39"/>
  <c r="J31" i="39"/>
  <c r="K31" i="39"/>
  <c r="C32" i="39"/>
  <c r="D32" i="39"/>
  <c r="I32" i="39"/>
  <c r="J32" i="39"/>
  <c r="K32" i="39"/>
  <c r="C33" i="39"/>
  <c r="D33" i="39"/>
  <c r="I33" i="39"/>
  <c r="J33" i="39"/>
  <c r="K33" i="39"/>
  <c r="C34" i="39"/>
  <c r="D34" i="39"/>
  <c r="I34" i="39"/>
  <c r="J34" i="39"/>
  <c r="K34" i="39"/>
  <c r="C35" i="39"/>
  <c r="D35" i="39"/>
  <c r="I35" i="39"/>
  <c r="J35" i="39"/>
  <c r="K35" i="39"/>
  <c r="C36" i="39"/>
  <c r="D36" i="39"/>
  <c r="I36" i="39"/>
  <c r="J36" i="39"/>
  <c r="K36" i="39"/>
  <c r="C37" i="39"/>
  <c r="D37" i="39"/>
  <c r="I37" i="39"/>
  <c r="J37" i="39"/>
  <c r="K37" i="39"/>
  <c r="C38" i="39"/>
  <c r="D38" i="39"/>
  <c r="I38" i="39"/>
  <c r="J38" i="39"/>
  <c r="K38" i="39"/>
  <c r="C39" i="39"/>
  <c r="D39" i="39"/>
  <c r="I39" i="39"/>
  <c r="J39" i="39"/>
  <c r="K39" i="39"/>
  <c r="C40" i="39"/>
  <c r="D40" i="39"/>
  <c r="I40" i="39"/>
  <c r="J40" i="39"/>
  <c r="K40" i="39"/>
  <c r="C41" i="39"/>
  <c r="D41" i="39"/>
  <c r="I41" i="39"/>
  <c r="J41" i="39"/>
  <c r="K41" i="39"/>
  <c r="C42" i="39"/>
  <c r="D42" i="39"/>
  <c r="I42" i="39"/>
  <c r="J42" i="39"/>
  <c r="K42" i="39"/>
  <c r="C43" i="39"/>
  <c r="D43" i="39"/>
  <c r="I43" i="39"/>
  <c r="J43" i="39"/>
  <c r="K43" i="39"/>
  <c r="C44" i="39"/>
  <c r="D44" i="39"/>
  <c r="I44" i="39"/>
  <c r="J44" i="39"/>
  <c r="K44" i="39"/>
  <c r="C45" i="39"/>
  <c r="D45" i="39"/>
  <c r="I45" i="39"/>
  <c r="J45" i="39"/>
  <c r="K45" i="39"/>
  <c r="C46" i="39"/>
  <c r="D46" i="39"/>
  <c r="I46" i="39"/>
  <c r="J46" i="39"/>
  <c r="K46" i="39"/>
  <c r="C47" i="39"/>
  <c r="D47" i="39"/>
  <c r="I47" i="39"/>
  <c r="J47" i="39"/>
  <c r="K47" i="39"/>
  <c r="C48" i="39"/>
  <c r="D48" i="39"/>
  <c r="I48" i="39"/>
  <c r="J48" i="39"/>
  <c r="K48" i="39"/>
  <c r="C49" i="39"/>
  <c r="D49" i="39"/>
  <c r="I49" i="39"/>
  <c r="J49" i="39"/>
  <c r="K49" i="39"/>
  <c r="C50" i="39"/>
  <c r="D50" i="39"/>
  <c r="I50" i="39"/>
  <c r="J50" i="39"/>
  <c r="K50" i="39"/>
  <c r="C51" i="39"/>
  <c r="D51" i="39"/>
  <c r="I51" i="39"/>
  <c r="J51" i="39"/>
  <c r="K51" i="39"/>
  <c r="C52" i="39"/>
  <c r="D52" i="39"/>
  <c r="I52" i="39"/>
  <c r="J52" i="39"/>
  <c r="K52" i="39"/>
  <c r="C53" i="39"/>
  <c r="D53" i="39"/>
  <c r="I53" i="39"/>
  <c r="J53" i="39"/>
  <c r="K53" i="39"/>
  <c r="C54" i="39"/>
  <c r="D54" i="39"/>
  <c r="I54" i="39"/>
  <c r="J54" i="39"/>
  <c r="K54" i="39"/>
  <c r="C55" i="39"/>
  <c r="D55" i="39"/>
  <c r="I55" i="39"/>
  <c r="J55" i="39"/>
  <c r="K55" i="39"/>
  <c r="C56" i="39"/>
  <c r="D56" i="39"/>
  <c r="I56" i="39"/>
  <c r="J56" i="39"/>
  <c r="K56" i="39"/>
  <c r="C57" i="39"/>
  <c r="D57" i="39"/>
  <c r="I57" i="39"/>
  <c r="J57" i="39"/>
  <c r="K57" i="39"/>
  <c r="C58" i="39"/>
  <c r="D58" i="39"/>
  <c r="I58" i="39"/>
  <c r="J58" i="39"/>
  <c r="K58" i="39"/>
  <c r="C59" i="39"/>
  <c r="D59" i="39"/>
  <c r="I59" i="39"/>
  <c r="J59" i="39"/>
  <c r="K59" i="39"/>
  <c r="C60" i="39"/>
  <c r="D60" i="39"/>
  <c r="I60" i="39"/>
  <c r="J60" i="39"/>
  <c r="K60" i="39"/>
  <c r="C61" i="39"/>
  <c r="D61" i="39"/>
  <c r="I61" i="39"/>
  <c r="J61" i="39"/>
  <c r="K61" i="39"/>
  <c r="C62" i="39"/>
  <c r="D62" i="39"/>
  <c r="I62" i="39"/>
  <c r="J62" i="39"/>
  <c r="K62" i="39"/>
  <c r="C63" i="39"/>
  <c r="D63" i="39"/>
  <c r="I63" i="39"/>
  <c r="J63" i="39"/>
  <c r="K63" i="39"/>
  <c r="C64" i="39"/>
  <c r="D64" i="39"/>
  <c r="I64" i="39"/>
  <c r="J64" i="39"/>
  <c r="K64" i="39"/>
  <c r="C65" i="39"/>
  <c r="D65" i="39"/>
  <c r="I65" i="39"/>
  <c r="J65" i="39"/>
  <c r="K65" i="39"/>
  <c r="C66" i="39"/>
  <c r="D66" i="39"/>
  <c r="I66" i="39"/>
  <c r="J66" i="39"/>
  <c r="K66" i="39"/>
  <c r="C67" i="39"/>
  <c r="D67" i="39"/>
  <c r="I67" i="39"/>
  <c r="J67" i="39"/>
  <c r="K67" i="39"/>
  <c r="C68" i="39"/>
  <c r="D68" i="39"/>
  <c r="I68" i="39"/>
  <c r="J68" i="39"/>
  <c r="K68" i="39"/>
  <c r="C69" i="39"/>
  <c r="D69" i="39"/>
  <c r="I69" i="39"/>
  <c r="J69" i="39"/>
  <c r="K69" i="39"/>
  <c r="C70" i="39"/>
  <c r="D70" i="39"/>
  <c r="I70" i="39"/>
  <c r="J70" i="39"/>
  <c r="K70" i="39"/>
  <c r="C71" i="39"/>
  <c r="D71" i="39"/>
  <c r="I71" i="39"/>
  <c r="J71" i="39"/>
  <c r="K71" i="39"/>
  <c r="C72" i="39"/>
  <c r="D72" i="39"/>
  <c r="I72" i="39"/>
  <c r="J72" i="39"/>
  <c r="K72" i="39"/>
  <c r="C73" i="39"/>
  <c r="D73" i="39"/>
  <c r="I73" i="39"/>
  <c r="J73" i="39"/>
  <c r="K73" i="39"/>
  <c r="C74" i="39"/>
  <c r="D74" i="39"/>
  <c r="I74" i="39"/>
  <c r="J74" i="39"/>
  <c r="K74" i="39"/>
  <c r="C75" i="39"/>
  <c r="D75" i="39"/>
  <c r="I75" i="39"/>
  <c r="J75" i="39"/>
  <c r="K75" i="39"/>
  <c r="C76" i="39"/>
  <c r="D76" i="39"/>
  <c r="I76" i="39"/>
  <c r="J76" i="39"/>
  <c r="K76" i="39"/>
  <c r="C77" i="39"/>
  <c r="D77" i="39"/>
  <c r="I77" i="39"/>
  <c r="J77" i="39"/>
  <c r="K77" i="39"/>
  <c r="C78" i="39"/>
  <c r="D78" i="39"/>
  <c r="I78" i="39"/>
  <c r="J78" i="39"/>
  <c r="K78" i="39"/>
  <c r="C79" i="39"/>
  <c r="D79" i="39"/>
  <c r="I79" i="39"/>
  <c r="J79" i="39"/>
  <c r="K79" i="39"/>
  <c r="C80" i="39"/>
  <c r="D80" i="39"/>
  <c r="I80" i="39"/>
  <c r="J80" i="39"/>
  <c r="K80" i="39"/>
  <c r="C81" i="39"/>
  <c r="D81" i="39"/>
  <c r="I81" i="39"/>
  <c r="J81" i="39"/>
  <c r="K81" i="39"/>
  <c r="C82" i="39"/>
  <c r="D82" i="39"/>
  <c r="I82" i="39"/>
  <c r="J82" i="39"/>
  <c r="K82" i="39"/>
  <c r="C83" i="39"/>
  <c r="D83" i="39"/>
  <c r="I83" i="39"/>
  <c r="J83" i="39"/>
  <c r="K83" i="39"/>
  <c r="C84" i="39"/>
  <c r="D84" i="39"/>
  <c r="I84" i="39"/>
  <c r="J84" i="39"/>
  <c r="K84" i="39"/>
  <c r="C85" i="39"/>
  <c r="D85" i="39"/>
  <c r="I85" i="39"/>
  <c r="J85" i="39"/>
  <c r="K85" i="39"/>
  <c r="C86" i="39"/>
  <c r="D86" i="39"/>
  <c r="I86" i="39"/>
  <c r="J86" i="39"/>
  <c r="K86" i="39"/>
  <c r="C87" i="39"/>
  <c r="D87" i="39"/>
  <c r="I87" i="39"/>
  <c r="J87" i="39"/>
  <c r="K87" i="39"/>
  <c r="C88" i="39"/>
  <c r="D88" i="39"/>
  <c r="I88" i="39"/>
  <c r="J88" i="39"/>
  <c r="K88" i="39"/>
  <c r="C89" i="39"/>
  <c r="D89" i="39"/>
  <c r="I89" i="39"/>
  <c r="J89" i="39"/>
  <c r="K89" i="39"/>
  <c r="C90" i="39"/>
  <c r="D90" i="39"/>
  <c r="I90" i="39"/>
  <c r="J90" i="39"/>
  <c r="K90" i="39"/>
  <c r="C91" i="39"/>
  <c r="D91" i="39"/>
  <c r="I91" i="39"/>
  <c r="J91" i="39"/>
  <c r="K91" i="39"/>
  <c r="C92" i="39"/>
  <c r="D92" i="39"/>
  <c r="I92" i="39"/>
  <c r="J92" i="39"/>
  <c r="K92" i="39"/>
  <c r="C93" i="39"/>
  <c r="D93" i="39"/>
  <c r="I93" i="39"/>
  <c r="J93" i="39"/>
  <c r="K93" i="39"/>
  <c r="C94" i="39"/>
  <c r="D94" i="39"/>
  <c r="I94" i="39"/>
  <c r="J94" i="39"/>
  <c r="K94" i="39"/>
  <c r="C95" i="39"/>
  <c r="D95" i="39"/>
  <c r="I95" i="39"/>
  <c r="J95" i="39"/>
  <c r="K95" i="39"/>
  <c r="E96" i="39"/>
  <c r="F96" i="39"/>
  <c r="E97" i="39"/>
  <c r="F97" i="39"/>
  <c r="E98" i="39"/>
  <c r="F98" i="39"/>
  <c r="E99" i="39"/>
  <c r="F99" i="39"/>
  <c r="E100" i="39"/>
  <c r="F100" i="39"/>
  <c r="E101" i="39"/>
  <c r="F101" i="39"/>
  <c r="E102" i="39"/>
  <c r="F102" i="39"/>
  <c r="E103" i="39"/>
  <c r="F103" i="39"/>
  <c r="E104" i="39"/>
  <c r="F104" i="39"/>
  <c r="E105" i="39"/>
  <c r="F105" i="39"/>
  <c r="E106" i="39"/>
  <c r="F106" i="39"/>
  <c r="I106" i="39"/>
  <c r="J106" i="39"/>
  <c r="K106" i="39"/>
  <c r="C107" i="39"/>
  <c r="D107" i="39"/>
  <c r="I107" i="39"/>
  <c r="J107" i="39"/>
  <c r="K107" i="39"/>
  <c r="M109" i="39"/>
  <c r="N109" i="39"/>
  <c r="O109" i="39"/>
  <c r="Q109" i="39"/>
  <c r="R109" i="39"/>
  <c r="S109" i="39"/>
  <c r="E110" i="39"/>
  <c r="F110" i="39"/>
  <c r="M110" i="39"/>
  <c r="N110" i="39"/>
  <c r="O110" i="39"/>
  <c r="Q110" i="39"/>
  <c r="R110" i="39"/>
  <c r="S110" i="39"/>
  <c r="B1" i="38"/>
  <c r="B3" i="38"/>
  <c r="M10" i="38"/>
  <c r="Q10" i="38"/>
  <c r="C13" i="38"/>
  <c r="D13" i="38"/>
  <c r="E13" i="38"/>
  <c r="F13" i="38"/>
  <c r="C17" i="38"/>
  <c r="C23" i="38" s="1"/>
  <c r="D17" i="38"/>
  <c r="D23" i="38" s="1"/>
  <c r="I17" i="38"/>
  <c r="I23" i="38" s="1"/>
  <c r="J17" i="38"/>
  <c r="J23" i="38" s="1"/>
  <c r="K17" i="38"/>
  <c r="K23" i="38" s="1"/>
  <c r="E19" i="38"/>
  <c r="F19" i="38"/>
  <c r="E20" i="38"/>
  <c r="F20" i="38"/>
  <c r="E21" i="38"/>
  <c r="F21" i="38"/>
  <c r="M23" i="38"/>
  <c r="N23" i="38"/>
  <c r="O23" i="38"/>
  <c r="Q23" i="38"/>
  <c r="R23" i="38"/>
  <c r="S23" i="38"/>
  <c r="A24" i="38"/>
  <c r="D18" i="5" s="1"/>
  <c r="C28" i="38"/>
  <c r="D28" i="38"/>
  <c r="I28" i="38"/>
  <c r="J28" i="38"/>
  <c r="K28" i="38"/>
  <c r="A29" i="38"/>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C29" i="38"/>
  <c r="D29" i="38"/>
  <c r="I29" i="38"/>
  <c r="J29" i="38"/>
  <c r="K29" i="38"/>
  <c r="C30" i="38"/>
  <c r="D30" i="38"/>
  <c r="I30" i="38"/>
  <c r="J30" i="38"/>
  <c r="K30" i="38"/>
  <c r="C31" i="38"/>
  <c r="D31" i="38"/>
  <c r="I31" i="38"/>
  <c r="J31" i="38"/>
  <c r="K31" i="38"/>
  <c r="C32" i="38"/>
  <c r="D32" i="38"/>
  <c r="I32" i="38"/>
  <c r="J32" i="38"/>
  <c r="K32" i="38"/>
  <c r="C33" i="38"/>
  <c r="D33" i="38"/>
  <c r="I33" i="38"/>
  <c r="J33" i="38"/>
  <c r="K33" i="38"/>
  <c r="C34" i="38"/>
  <c r="D34" i="38"/>
  <c r="I34" i="38"/>
  <c r="J34" i="38"/>
  <c r="K34" i="38"/>
  <c r="C35" i="38"/>
  <c r="D35" i="38"/>
  <c r="I35" i="38"/>
  <c r="J35" i="38"/>
  <c r="K35" i="38"/>
  <c r="C36" i="38"/>
  <c r="D36" i="38"/>
  <c r="I36" i="38"/>
  <c r="J36" i="38"/>
  <c r="K36" i="38"/>
  <c r="C37" i="38"/>
  <c r="D37" i="38"/>
  <c r="I37" i="38"/>
  <c r="J37" i="38"/>
  <c r="K37" i="38"/>
  <c r="C38" i="38"/>
  <c r="D38" i="38"/>
  <c r="I38" i="38"/>
  <c r="J38" i="38"/>
  <c r="K38" i="38"/>
  <c r="C39" i="38"/>
  <c r="D39" i="38"/>
  <c r="I39" i="38"/>
  <c r="J39" i="38"/>
  <c r="K39" i="38"/>
  <c r="C40" i="38"/>
  <c r="D40" i="38"/>
  <c r="I40" i="38"/>
  <c r="J40" i="38"/>
  <c r="K40" i="38"/>
  <c r="C41" i="38"/>
  <c r="D41" i="38"/>
  <c r="I41" i="38"/>
  <c r="J41" i="38"/>
  <c r="K41" i="38"/>
  <c r="C42" i="38"/>
  <c r="D42" i="38"/>
  <c r="I42" i="38"/>
  <c r="J42" i="38"/>
  <c r="K42" i="38"/>
  <c r="C43" i="38"/>
  <c r="D43" i="38"/>
  <c r="I43" i="38"/>
  <c r="J43" i="38"/>
  <c r="K43" i="38"/>
  <c r="C44" i="38"/>
  <c r="D44" i="38"/>
  <c r="I44" i="38"/>
  <c r="J44" i="38"/>
  <c r="K44" i="38"/>
  <c r="C45" i="38"/>
  <c r="D45" i="38"/>
  <c r="I45" i="38"/>
  <c r="J45" i="38"/>
  <c r="K45" i="38"/>
  <c r="C46" i="38"/>
  <c r="D46" i="38"/>
  <c r="I46" i="38"/>
  <c r="J46" i="38"/>
  <c r="K46" i="38"/>
  <c r="C47" i="38"/>
  <c r="D47" i="38"/>
  <c r="I47" i="38"/>
  <c r="J47" i="38"/>
  <c r="K47" i="38"/>
  <c r="C48" i="38"/>
  <c r="D48" i="38"/>
  <c r="I48" i="38"/>
  <c r="J48" i="38"/>
  <c r="K48" i="38"/>
  <c r="C49" i="38"/>
  <c r="D49" i="38"/>
  <c r="I49" i="38"/>
  <c r="J49" i="38"/>
  <c r="K49" i="38"/>
  <c r="C50" i="38"/>
  <c r="D50" i="38"/>
  <c r="I50" i="38"/>
  <c r="J50" i="38"/>
  <c r="K50" i="38"/>
  <c r="C51" i="38"/>
  <c r="D51" i="38"/>
  <c r="I51" i="38"/>
  <c r="J51" i="38"/>
  <c r="K51" i="38"/>
  <c r="C52" i="38"/>
  <c r="D52" i="38"/>
  <c r="I52" i="38"/>
  <c r="J52" i="38"/>
  <c r="K52" i="38"/>
  <c r="C53" i="38"/>
  <c r="D53" i="38"/>
  <c r="I53" i="38"/>
  <c r="J53" i="38"/>
  <c r="K53" i="38"/>
  <c r="C54" i="38"/>
  <c r="D54" i="38"/>
  <c r="I54" i="38"/>
  <c r="J54" i="38"/>
  <c r="K54" i="38"/>
  <c r="C55" i="38"/>
  <c r="D55" i="38"/>
  <c r="I55" i="38"/>
  <c r="J55" i="38"/>
  <c r="K55" i="38"/>
  <c r="C56" i="38"/>
  <c r="D56" i="38"/>
  <c r="I56" i="38"/>
  <c r="J56" i="38"/>
  <c r="K56" i="38"/>
  <c r="C57" i="38"/>
  <c r="D57" i="38"/>
  <c r="I57" i="38"/>
  <c r="J57" i="38"/>
  <c r="K57" i="38"/>
  <c r="C58" i="38"/>
  <c r="D58" i="38"/>
  <c r="I58" i="38"/>
  <c r="J58" i="38"/>
  <c r="K58" i="38"/>
  <c r="C59" i="38"/>
  <c r="D59" i="38"/>
  <c r="I59" i="38"/>
  <c r="J59" i="38"/>
  <c r="K59" i="38"/>
  <c r="C60" i="38"/>
  <c r="D60" i="38"/>
  <c r="I60" i="38"/>
  <c r="J60" i="38"/>
  <c r="K60" i="38"/>
  <c r="C61" i="38"/>
  <c r="D61" i="38"/>
  <c r="I61" i="38"/>
  <c r="J61" i="38"/>
  <c r="K61" i="38"/>
  <c r="C62" i="38"/>
  <c r="D62" i="38"/>
  <c r="I62" i="38"/>
  <c r="J62" i="38"/>
  <c r="K62" i="38"/>
  <c r="C63" i="38"/>
  <c r="D63" i="38"/>
  <c r="I63" i="38"/>
  <c r="J63" i="38"/>
  <c r="K63" i="38"/>
  <c r="C64" i="38"/>
  <c r="D64" i="38"/>
  <c r="I64" i="38"/>
  <c r="J64" i="38"/>
  <c r="K64" i="38"/>
  <c r="C65" i="38"/>
  <c r="D65" i="38"/>
  <c r="I65" i="38"/>
  <c r="J65" i="38"/>
  <c r="K65" i="38"/>
  <c r="E66" i="38"/>
  <c r="F66" i="38"/>
  <c r="E67" i="38"/>
  <c r="F67" i="38"/>
  <c r="E68" i="38"/>
  <c r="F68" i="38"/>
  <c r="M71" i="38"/>
  <c r="N71" i="38"/>
  <c r="O71" i="38"/>
  <c r="Q71" i="38"/>
  <c r="R71" i="38"/>
  <c r="S71" i="38"/>
  <c r="A72" i="38"/>
  <c r="D26" i="5" s="1"/>
  <c r="E72" i="38"/>
  <c r="F72" i="38"/>
  <c r="M72" i="38"/>
  <c r="N72" i="38"/>
  <c r="O72" i="38"/>
  <c r="Q72" i="38"/>
  <c r="R72" i="38"/>
  <c r="S72" i="38"/>
  <c r="C76" i="38"/>
  <c r="D76" i="38"/>
  <c r="I76" i="38"/>
  <c r="J76" i="38"/>
  <c r="K76" i="38"/>
  <c r="A77" i="38"/>
  <c r="A78" i="38" s="1"/>
  <c r="A79" i="38" s="1"/>
  <c r="A80" i="38" s="1"/>
  <c r="A81" i="38" s="1"/>
  <c r="A82" i="38" s="1"/>
  <c r="A83" i="38" s="1"/>
  <c r="A84" i="38" s="1"/>
  <c r="A85" i="38" s="1"/>
  <c r="A86" i="38" s="1"/>
  <c r="A87" i="38" s="1"/>
  <c r="A88" i="38" s="1"/>
  <c r="A89" i="38" s="1"/>
  <c r="A90" i="38" s="1"/>
  <c r="A91" i="38" s="1"/>
  <c r="A92" i="38" s="1"/>
  <c r="A93" i="38" s="1"/>
  <c r="A94" i="38" s="1"/>
  <c r="A95" i="38" s="1"/>
  <c r="A96" i="38" s="1"/>
  <c r="A97" i="38" s="1"/>
  <c r="A98" i="38" s="1"/>
  <c r="A99" i="38" s="1"/>
  <c r="A100" i="38" s="1"/>
  <c r="A101" i="38" s="1"/>
  <c r="A102" i="38" s="1"/>
  <c r="A103" i="38" s="1"/>
  <c r="A104" i="38" s="1"/>
  <c r="A105" i="38" s="1"/>
  <c r="A106" i="38" s="1"/>
  <c r="A107" i="38" s="1"/>
  <c r="A108" i="38" s="1"/>
  <c r="A109" i="38" s="1"/>
  <c r="A110" i="38" s="1"/>
  <c r="A111" i="38" s="1"/>
  <c r="A112" i="38" s="1"/>
  <c r="A113" i="38" s="1"/>
  <c r="A114" i="38" s="1"/>
  <c r="A115" i="38" s="1"/>
  <c r="A116" i="38" s="1"/>
  <c r="A117" i="38" s="1"/>
  <c r="A118" i="38" s="1"/>
  <c r="A119" i="38" s="1"/>
  <c r="A120" i="38" s="1"/>
  <c r="A121" i="38" s="1"/>
  <c r="A122" i="38" s="1"/>
  <c r="A123" i="38" s="1"/>
  <c r="A124" i="38" s="1"/>
  <c r="A125" i="38" s="1"/>
  <c r="A126" i="38" s="1"/>
  <c r="A127" i="38" s="1"/>
  <c r="A128" i="38" s="1"/>
  <c r="A129" i="38" s="1"/>
  <c r="A130" i="38" s="1"/>
  <c r="A131" i="38" s="1"/>
  <c r="A132" i="38" s="1"/>
  <c r="A133" i="38" s="1"/>
  <c r="A134" i="38" s="1"/>
  <c r="A135" i="38" s="1"/>
  <c r="A136" i="38" s="1"/>
  <c r="A137" i="38" s="1"/>
  <c r="A138" i="38" s="1"/>
  <c r="A139" i="38" s="1"/>
  <c r="A140" i="38" s="1"/>
  <c r="A141" i="38" s="1"/>
  <c r="A142" i="38" s="1"/>
  <c r="A143" i="38" s="1"/>
  <c r="A144" i="38" s="1"/>
  <c r="A145" i="38" s="1"/>
  <c r="A146" i="38" s="1"/>
  <c r="A147" i="38" s="1"/>
  <c r="A148" i="38" s="1"/>
  <c r="A149" i="38" s="1"/>
  <c r="A150" i="38" s="1"/>
  <c r="A151" i="38" s="1"/>
  <c r="A152" i="38" s="1"/>
  <c r="A153" i="38" s="1"/>
  <c r="A154" i="38" s="1"/>
  <c r="A155" i="38" s="1"/>
  <c r="A156" i="38" s="1"/>
  <c r="A157" i="38" s="1"/>
  <c r="A158" i="38" s="1"/>
  <c r="A159" i="38" s="1"/>
  <c r="A160" i="38" s="1"/>
  <c r="A161" i="38" s="1"/>
  <c r="A162" i="38" s="1"/>
  <c r="A163" i="38" s="1"/>
  <c r="A164" i="38" s="1"/>
  <c r="A165" i="38" s="1"/>
  <c r="A166" i="38" s="1"/>
  <c r="A167" i="38" s="1"/>
  <c r="A168" i="38" s="1"/>
  <c r="A169" i="38" s="1"/>
  <c r="A170" i="38" s="1"/>
  <c r="A171" i="38" s="1"/>
  <c r="A172" i="38" s="1"/>
  <c r="A173" i="38" s="1"/>
  <c r="A174" i="38" s="1"/>
  <c r="C77" i="38"/>
  <c r="D77" i="38"/>
  <c r="I77" i="38"/>
  <c r="J77" i="38"/>
  <c r="K77" i="38"/>
  <c r="C78" i="38"/>
  <c r="D78" i="38"/>
  <c r="I78" i="38"/>
  <c r="J78" i="38"/>
  <c r="K78" i="38"/>
  <c r="C79" i="38"/>
  <c r="D79" i="38"/>
  <c r="I79" i="38"/>
  <c r="J79" i="38"/>
  <c r="K79" i="38"/>
  <c r="C80" i="38"/>
  <c r="D80" i="38"/>
  <c r="I80" i="38"/>
  <c r="J80" i="38"/>
  <c r="K80" i="38"/>
  <c r="C81" i="38"/>
  <c r="D81" i="38"/>
  <c r="I81" i="38"/>
  <c r="J81" i="38"/>
  <c r="K81" i="38"/>
  <c r="C82" i="38"/>
  <c r="D82" i="38"/>
  <c r="I82" i="38"/>
  <c r="J82" i="38"/>
  <c r="K82" i="38"/>
  <c r="C83" i="38"/>
  <c r="D83" i="38"/>
  <c r="I83" i="38"/>
  <c r="J83" i="38"/>
  <c r="K83" i="38"/>
  <c r="C84" i="38"/>
  <c r="D84" i="38"/>
  <c r="I84" i="38"/>
  <c r="J84" i="38"/>
  <c r="K84" i="38"/>
  <c r="C85" i="38"/>
  <c r="D85" i="38"/>
  <c r="I85" i="38"/>
  <c r="J85" i="38"/>
  <c r="K85" i="38"/>
  <c r="C86" i="38"/>
  <c r="D86" i="38"/>
  <c r="I86" i="38"/>
  <c r="J86" i="38"/>
  <c r="K86" i="38"/>
  <c r="C87" i="38"/>
  <c r="D87" i="38"/>
  <c r="I87" i="38"/>
  <c r="J87" i="38"/>
  <c r="K87" i="38"/>
  <c r="C88" i="38"/>
  <c r="D88" i="38"/>
  <c r="I88" i="38"/>
  <c r="J88" i="38"/>
  <c r="K88" i="38"/>
  <c r="C89" i="38"/>
  <c r="D89" i="38"/>
  <c r="I89" i="38"/>
  <c r="J89" i="38"/>
  <c r="K89" i="38"/>
  <c r="C90" i="38"/>
  <c r="D90" i="38"/>
  <c r="I90" i="38"/>
  <c r="J90" i="38"/>
  <c r="K90" i="38"/>
  <c r="C91" i="38"/>
  <c r="D91" i="38"/>
  <c r="I91" i="38"/>
  <c r="J91" i="38"/>
  <c r="K91" i="38"/>
  <c r="C92" i="38"/>
  <c r="D92" i="38"/>
  <c r="I92" i="38"/>
  <c r="J92" i="38"/>
  <c r="K92" i="38"/>
  <c r="C93" i="38"/>
  <c r="D93" i="38"/>
  <c r="I93" i="38"/>
  <c r="J93" i="38"/>
  <c r="K93" i="38"/>
  <c r="C94" i="38"/>
  <c r="D94" i="38"/>
  <c r="I94" i="38"/>
  <c r="J94" i="38"/>
  <c r="K94" i="38"/>
  <c r="C95" i="38"/>
  <c r="D95" i="38"/>
  <c r="I95" i="38"/>
  <c r="J95" i="38"/>
  <c r="K95" i="38"/>
  <c r="C96" i="38"/>
  <c r="D96" i="38"/>
  <c r="I96" i="38"/>
  <c r="J96" i="38"/>
  <c r="K96" i="38"/>
  <c r="C97" i="38"/>
  <c r="D97" i="38"/>
  <c r="I97" i="38"/>
  <c r="J97" i="38"/>
  <c r="K97" i="38"/>
  <c r="C98" i="38"/>
  <c r="D98" i="38"/>
  <c r="I98" i="38"/>
  <c r="J98" i="38"/>
  <c r="K98" i="38"/>
  <c r="C99" i="38"/>
  <c r="D99" i="38"/>
  <c r="I99" i="38"/>
  <c r="J99" i="38"/>
  <c r="K99" i="38"/>
  <c r="C100" i="38"/>
  <c r="D100" i="38"/>
  <c r="I100" i="38"/>
  <c r="J100" i="38"/>
  <c r="K100" i="38"/>
  <c r="C101" i="38"/>
  <c r="D101" i="38"/>
  <c r="I101" i="38"/>
  <c r="J101" i="38"/>
  <c r="K101" i="38"/>
  <c r="C102" i="38"/>
  <c r="D102" i="38"/>
  <c r="I102" i="38"/>
  <c r="J102" i="38"/>
  <c r="K102" i="38"/>
  <c r="C103" i="38"/>
  <c r="D103" i="38"/>
  <c r="I103" i="38"/>
  <c r="J103" i="38"/>
  <c r="K103" i="38"/>
  <c r="C104" i="38"/>
  <c r="D104" i="38"/>
  <c r="I104" i="38"/>
  <c r="J104" i="38"/>
  <c r="K104" i="38"/>
  <c r="C105" i="38"/>
  <c r="D105" i="38"/>
  <c r="I105" i="38"/>
  <c r="J105" i="38"/>
  <c r="K105" i="38"/>
  <c r="C106" i="38"/>
  <c r="D106" i="38"/>
  <c r="I106" i="38"/>
  <c r="J106" i="38"/>
  <c r="K106" i="38"/>
  <c r="C107" i="38"/>
  <c r="D107" i="38"/>
  <c r="I107" i="38"/>
  <c r="J107" i="38"/>
  <c r="K107" i="38"/>
  <c r="C108" i="38"/>
  <c r="D108" i="38"/>
  <c r="I108" i="38"/>
  <c r="J108" i="38"/>
  <c r="K108" i="38"/>
  <c r="C109" i="38"/>
  <c r="D109" i="38"/>
  <c r="I109" i="38"/>
  <c r="J109" i="38"/>
  <c r="K109" i="38"/>
  <c r="C110" i="38"/>
  <c r="D110" i="38"/>
  <c r="I110" i="38"/>
  <c r="J110" i="38"/>
  <c r="K110" i="38"/>
  <c r="C111" i="38"/>
  <c r="D111" i="38"/>
  <c r="I111" i="38"/>
  <c r="J111" i="38"/>
  <c r="K111" i="38"/>
  <c r="C112" i="38"/>
  <c r="D112" i="38"/>
  <c r="I112" i="38"/>
  <c r="J112" i="38"/>
  <c r="K112" i="38"/>
  <c r="C113" i="38"/>
  <c r="D113" i="38"/>
  <c r="I113" i="38"/>
  <c r="J113" i="38"/>
  <c r="K113" i="38"/>
  <c r="C114" i="38"/>
  <c r="D114" i="38"/>
  <c r="I114" i="38"/>
  <c r="J114" i="38"/>
  <c r="K114" i="38"/>
  <c r="C115" i="38"/>
  <c r="D115" i="38"/>
  <c r="I115" i="38"/>
  <c r="J115" i="38"/>
  <c r="K115" i="38"/>
  <c r="C116" i="38"/>
  <c r="D116" i="38"/>
  <c r="I116" i="38"/>
  <c r="J116" i="38"/>
  <c r="K116" i="38"/>
  <c r="C117" i="38"/>
  <c r="D117" i="38"/>
  <c r="I117" i="38"/>
  <c r="J117" i="38"/>
  <c r="K117" i="38"/>
  <c r="C118" i="38"/>
  <c r="D118" i="38"/>
  <c r="I118" i="38"/>
  <c r="J118" i="38"/>
  <c r="K118" i="38"/>
  <c r="C119" i="38"/>
  <c r="D119" i="38"/>
  <c r="I119" i="38"/>
  <c r="J119" i="38"/>
  <c r="K119" i="38"/>
  <c r="C120" i="38"/>
  <c r="D120" i="38"/>
  <c r="I120" i="38"/>
  <c r="J120" i="38"/>
  <c r="K120" i="38"/>
  <c r="C121" i="38"/>
  <c r="D121" i="38"/>
  <c r="I121" i="38"/>
  <c r="J121" i="38"/>
  <c r="K121" i="38"/>
  <c r="C122" i="38"/>
  <c r="D122" i="38"/>
  <c r="I122" i="38"/>
  <c r="J122" i="38"/>
  <c r="K122" i="38"/>
  <c r="C123" i="38"/>
  <c r="D123" i="38"/>
  <c r="I123" i="38"/>
  <c r="J123" i="38"/>
  <c r="K123" i="38"/>
  <c r="C124" i="38"/>
  <c r="D124" i="38"/>
  <c r="I124" i="38"/>
  <c r="J124" i="38"/>
  <c r="K124" i="38"/>
  <c r="C125" i="38"/>
  <c r="D125" i="38"/>
  <c r="I125" i="38"/>
  <c r="J125" i="38"/>
  <c r="K125" i="38"/>
  <c r="C126" i="38"/>
  <c r="D126" i="38"/>
  <c r="I126" i="38"/>
  <c r="J126" i="38"/>
  <c r="K126" i="38"/>
  <c r="C127" i="38"/>
  <c r="D127" i="38"/>
  <c r="I127" i="38"/>
  <c r="J127" i="38"/>
  <c r="K127" i="38"/>
  <c r="C128" i="38"/>
  <c r="D128" i="38"/>
  <c r="I128" i="38"/>
  <c r="J128" i="38"/>
  <c r="K128" i="38"/>
  <c r="C129" i="38"/>
  <c r="D129" i="38"/>
  <c r="I129" i="38"/>
  <c r="J129" i="38"/>
  <c r="K129" i="38"/>
  <c r="C130" i="38"/>
  <c r="D130" i="38"/>
  <c r="I130" i="38"/>
  <c r="J130" i="38"/>
  <c r="K130" i="38"/>
  <c r="C131" i="38"/>
  <c r="D131" i="38"/>
  <c r="I131" i="38"/>
  <c r="J131" i="38"/>
  <c r="K131" i="38"/>
  <c r="C132" i="38"/>
  <c r="D132" i="38"/>
  <c r="I132" i="38"/>
  <c r="J132" i="38"/>
  <c r="K132" i="38"/>
  <c r="C133" i="38"/>
  <c r="D133" i="38"/>
  <c r="I133" i="38"/>
  <c r="J133" i="38"/>
  <c r="K133" i="38"/>
  <c r="C134" i="38"/>
  <c r="D134" i="38"/>
  <c r="I134" i="38"/>
  <c r="J134" i="38"/>
  <c r="K134" i="38"/>
  <c r="C135" i="38"/>
  <c r="D135" i="38"/>
  <c r="I135" i="38"/>
  <c r="J135" i="38"/>
  <c r="K135" i="38"/>
  <c r="C136" i="38"/>
  <c r="D136" i="38"/>
  <c r="I136" i="38"/>
  <c r="J136" i="38"/>
  <c r="K136" i="38"/>
  <c r="C137" i="38"/>
  <c r="D137" i="38"/>
  <c r="I137" i="38"/>
  <c r="J137" i="38"/>
  <c r="K137" i="38"/>
  <c r="C138" i="38"/>
  <c r="D138" i="38"/>
  <c r="I138" i="38"/>
  <c r="J138" i="38"/>
  <c r="K138" i="38"/>
  <c r="C139" i="38"/>
  <c r="D139" i="38"/>
  <c r="I139" i="38"/>
  <c r="J139" i="38"/>
  <c r="K139" i="38"/>
  <c r="C140" i="38"/>
  <c r="D140" i="38"/>
  <c r="I140" i="38"/>
  <c r="J140" i="38"/>
  <c r="K140" i="38"/>
  <c r="C141" i="38"/>
  <c r="D141" i="38"/>
  <c r="I141" i="38"/>
  <c r="J141" i="38"/>
  <c r="K141" i="38"/>
  <c r="C142" i="38"/>
  <c r="D142" i="38"/>
  <c r="I142" i="38"/>
  <c r="J142" i="38"/>
  <c r="K142" i="38"/>
  <c r="C143" i="38"/>
  <c r="D143" i="38"/>
  <c r="I143" i="38"/>
  <c r="J143" i="38"/>
  <c r="K143" i="38"/>
  <c r="C144" i="38"/>
  <c r="D144" i="38"/>
  <c r="I144" i="38"/>
  <c r="J144" i="38"/>
  <c r="K144" i="38"/>
  <c r="C145" i="38"/>
  <c r="D145" i="38"/>
  <c r="I145" i="38"/>
  <c r="J145" i="38"/>
  <c r="K145" i="38"/>
  <c r="C146" i="38"/>
  <c r="D146" i="38"/>
  <c r="I146" i="38"/>
  <c r="J146" i="38"/>
  <c r="K146" i="38"/>
  <c r="C147" i="38"/>
  <c r="D147" i="38"/>
  <c r="I147" i="38"/>
  <c r="J147" i="38"/>
  <c r="K147" i="38"/>
  <c r="C148" i="38"/>
  <c r="D148" i="38"/>
  <c r="I148" i="38"/>
  <c r="J148" i="38"/>
  <c r="K148" i="38"/>
  <c r="C149" i="38"/>
  <c r="D149" i="38"/>
  <c r="I149" i="38"/>
  <c r="J149" i="38"/>
  <c r="K149" i="38"/>
  <c r="C150" i="38"/>
  <c r="D150" i="38"/>
  <c r="I150" i="38"/>
  <c r="J150" i="38"/>
  <c r="K150" i="38"/>
  <c r="C151" i="38"/>
  <c r="D151" i="38"/>
  <c r="I151" i="38"/>
  <c r="J151" i="38"/>
  <c r="K151" i="38"/>
  <c r="C152" i="38"/>
  <c r="D152" i="38"/>
  <c r="I152" i="38"/>
  <c r="J152" i="38"/>
  <c r="K152" i="38"/>
  <c r="C153" i="38"/>
  <c r="D153" i="38"/>
  <c r="I153" i="38"/>
  <c r="J153" i="38"/>
  <c r="K153" i="38"/>
  <c r="C154" i="38"/>
  <c r="D154" i="38"/>
  <c r="I154" i="38"/>
  <c r="J154" i="38"/>
  <c r="K154" i="38"/>
  <c r="C155" i="38"/>
  <c r="D155" i="38"/>
  <c r="I155" i="38"/>
  <c r="J155" i="38"/>
  <c r="K155" i="38"/>
  <c r="C156" i="38"/>
  <c r="D156" i="38"/>
  <c r="I156" i="38"/>
  <c r="J156" i="38"/>
  <c r="K156" i="38"/>
  <c r="C157" i="38"/>
  <c r="D157" i="38"/>
  <c r="I157" i="38"/>
  <c r="J157" i="38"/>
  <c r="K157" i="38"/>
  <c r="C158" i="38"/>
  <c r="D158" i="38"/>
  <c r="I158" i="38"/>
  <c r="J158" i="38"/>
  <c r="K158" i="38"/>
  <c r="C159" i="38"/>
  <c r="D159" i="38"/>
  <c r="I159" i="38"/>
  <c r="J159" i="38"/>
  <c r="K159" i="38"/>
  <c r="C160" i="38"/>
  <c r="D160" i="38"/>
  <c r="I160" i="38"/>
  <c r="J160" i="38"/>
  <c r="K160" i="38"/>
  <c r="C161" i="38"/>
  <c r="D161" i="38"/>
  <c r="I161" i="38"/>
  <c r="J161" i="38"/>
  <c r="K161" i="38"/>
  <c r="C162" i="38"/>
  <c r="D162" i="38"/>
  <c r="I162" i="38"/>
  <c r="J162" i="38"/>
  <c r="K162" i="38"/>
  <c r="C163" i="38"/>
  <c r="D163" i="38"/>
  <c r="I163" i="38"/>
  <c r="J163" i="38"/>
  <c r="K163" i="38"/>
  <c r="C164" i="38"/>
  <c r="D164" i="38"/>
  <c r="I164" i="38"/>
  <c r="J164" i="38"/>
  <c r="K164" i="38"/>
  <c r="C165" i="38"/>
  <c r="D165" i="38"/>
  <c r="I165" i="38"/>
  <c r="J165" i="38"/>
  <c r="K165" i="38"/>
  <c r="C166" i="38"/>
  <c r="D166" i="38"/>
  <c r="I166" i="38"/>
  <c r="J166" i="38"/>
  <c r="K166" i="38"/>
  <c r="C167" i="38"/>
  <c r="D167" i="38"/>
  <c r="I167" i="38"/>
  <c r="J167" i="38"/>
  <c r="K167" i="38"/>
  <c r="C168" i="38"/>
  <c r="D168" i="38"/>
  <c r="I168" i="38"/>
  <c r="J168" i="38"/>
  <c r="K168" i="38"/>
  <c r="E169" i="38"/>
  <c r="F169" i="38"/>
  <c r="E170" i="38"/>
  <c r="F170" i="38"/>
  <c r="E171" i="38"/>
  <c r="F171" i="38"/>
  <c r="E172" i="38"/>
  <c r="F172" i="38"/>
  <c r="E173" i="38"/>
  <c r="F173" i="38"/>
  <c r="E174" i="38"/>
  <c r="F174" i="38"/>
  <c r="M177" i="38"/>
  <c r="M183" i="38" s="1"/>
  <c r="N177" i="38"/>
  <c r="N183" i="38" s="1"/>
  <c r="O177" i="38"/>
  <c r="O183" i="38" s="1"/>
  <c r="Q177" i="38"/>
  <c r="Q183" i="38" s="1"/>
  <c r="R177" i="38"/>
  <c r="R183" i="38" s="1"/>
  <c r="S177" i="38"/>
  <c r="S183" i="38" s="1"/>
  <c r="A180" i="38"/>
  <c r="A183" i="38" s="1"/>
  <c r="C180" i="38"/>
  <c r="D180" i="38"/>
  <c r="I180" i="38"/>
  <c r="J180" i="38"/>
  <c r="K180" i="38"/>
  <c r="E181" i="38"/>
  <c r="F181" i="38"/>
  <c r="E184" i="38"/>
  <c r="F184" i="38"/>
  <c r="M184" i="38"/>
  <c r="N184" i="38"/>
  <c r="O184" i="38"/>
  <c r="Q184" i="38"/>
  <c r="R184" i="38"/>
  <c r="S184" i="38"/>
  <c r="C194" i="38"/>
  <c r="D194" i="38"/>
  <c r="I194" i="38"/>
  <c r="J194" i="38"/>
  <c r="K194" i="38"/>
  <c r="C195" i="38"/>
  <c r="D195" i="38"/>
  <c r="I195" i="38"/>
  <c r="J195" i="38"/>
  <c r="K195" i="38"/>
  <c r="E197" i="38"/>
  <c r="F197" i="38"/>
  <c r="M197" i="38"/>
  <c r="N197" i="38"/>
  <c r="O197" i="38"/>
  <c r="Q197" i="38"/>
  <c r="R197" i="38"/>
  <c r="S197" i="38"/>
  <c r="A4" i="5"/>
  <c r="A6" i="5"/>
  <c r="E10" i="5"/>
  <c r="G10" i="5"/>
  <c r="I10" i="5"/>
  <c r="A17" i="5"/>
  <c r="A18" i="5" s="1"/>
  <c r="A19" i="5" s="1"/>
  <c r="A20" i="5" s="1"/>
  <c r="A23" i="5" s="1"/>
  <c r="A25" i="5" s="1"/>
  <c r="D19" i="5"/>
  <c r="D27" i="5"/>
  <c r="D42" i="5"/>
  <c r="D43" i="5"/>
  <c r="A2" i="35"/>
  <c r="A4" i="35"/>
  <c r="A11" i="35"/>
  <c r="A12" i="35" s="1"/>
  <c r="A13" i="35" s="1"/>
  <c r="A14" i="35" s="1"/>
  <c r="A15" i="35" s="1"/>
  <c r="A16" i="35" s="1"/>
  <c r="A17" i="35" s="1"/>
  <c r="A18" i="35" s="1"/>
  <c r="A19" i="35" s="1"/>
  <c r="A20" i="35" s="1"/>
  <c r="A21" i="35" s="1"/>
  <c r="A22" i="35" s="1"/>
  <c r="A23" i="35" s="1"/>
  <c r="G69" i="2"/>
  <c r="G83" i="2"/>
  <c r="E62" i="35"/>
  <c r="L235" i="2" s="1"/>
  <c r="F62" i="35"/>
  <c r="D67" i="35"/>
  <c r="E67" i="35"/>
  <c r="F67" i="35"/>
  <c r="A69" i="35"/>
  <c r="A71" i="35" s="1"/>
  <c r="F75" i="35"/>
  <c r="F76" i="35"/>
  <c r="F77" i="35"/>
  <c r="F78" i="35"/>
  <c r="F79" i="35"/>
  <c r="D80" i="35"/>
  <c r="E80" i="35"/>
  <c r="F87" i="35"/>
  <c r="F7" i="2"/>
  <c r="F56" i="2" s="1"/>
  <c r="F136" i="2" s="1"/>
  <c r="F226" i="2" s="1"/>
  <c r="F280" i="2" s="1"/>
  <c r="B13" i="2"/>
  <c r="B15" i="2" s="1"/>
  <c r="B18" i="2" s="1"/>
  <c r="B20" i="2" s="1"/>
  <c r="B27" i="2" s="1"/>
  <c r="B29" i="2" s="1"/>
  <c r="B30" i="2" s="1"/>
  <c r="F54" i="2"/>
  <c r="F134" i="2" s="1"/>
  <c r="F224" i="2" s="1"/>
  <c r="F278" i="2" s="1"/>
  <c r="F55" i="2"/>
  <c r="F135" i="2" s="1"/>
  <c r="F225" i="2" s="1"/>
  <c r="F279" i="2" s="1"/>
  <c r="F58" i="2"/>
  <c r="F138" i="2" s="1"/>
  <c r="F228" i="2" s="1"/>
  <c r="F282" i="2" s="1"/>
  <c r="B64" i="2"/>
  <c r="B144" i="2" s="1"/>
  <c r="B65" i="2"/>
  <c r="B145" i="2" s="1"/>
  <c r="D80" i="2"/>
  <c r="D94" i="2" s="1"/>
  <c r="D82" i="2"/>
  <c r="D95" i="2" s="1"/>
  <c r="D84" i="2"/>
  <c r="D96" i="2" s="1"/>
  <c r="D86" i="2"/>
  <c r="D97" i="2" s="1"/>
  <c r="D88" i="2"/>
  <c r="D98" i="2" s="1"/>
  <c r="E115" i="2"/>
  <c r="E142" i="2"/>
  <c r="L142" i="2"/>
  <c r="E143" i="2"/>
  <c r="G143" i="2"/>
  <c r="I143" i="2"/>
  <c r="L143" i="2"/>
  <c r="G160" i="2"/>
  <c r="L175" i="2"/>
  <c r="D181" i="2"/>
  <c r="D311" i="2"/>
  <c r="D367" i="2"/>
  <c r="E28" i="48"/>
  <c r="H32" i="41"/>
  <c r="H253" i="2"/>
  <c r="G159" i="2"/>
  <c r="G12" i="41"/>
  <c r="I1253" i="20" l="1"/>
  <c r="I1431" i="20"/>
  <c r="A41" i="9"/>
  <c r="A44" i="9" s="1"/>
  <c r="A45" i="9" s="1"/>
  <c r="A46" i="9" s="1"/>
  <c r="A47" i="9" s="1"/>
  <c r="A48" i="9" s="1"/>
  <c r="A49" i="9" s="1"/>
  <c r="A50" i="9" s="1"/>
  <c r="A51" i="9" s="1"/>
  <c r="A52" i="9" s="1"/>
  <c r="A53" i="9" s="1"/>
  <c r="A54" i="9" s="1"/>
  <c r="A55" i="9" s="1"/>
  <c r="A56" i="9" s="1"/>
  <c r="A57" i="9" s="1"/>
  <c r="A58" i="9" s="1"/>
  <c r="A59" i="9" s="1"/>
  <c r="A61" i="9" s="1"/>
  <c r="G160" i="38"/>
  <c r="E152" i="2"/>
  <c r="E192" i="2"/>
  <c r="E189" i="2"/>
  <c r="E265" i="2"/>
  <c r="A29" i="41"/>
  <c r="A30" i="41" s="1"/>
  <c r="A31" i="41" s="1"/>
  <c r="A32" i="41" s="1"/>
  <c r="A33" i="41" s="1"/>
  <c r="A34" i="41" s="1"/>
  <c r="A35" i="41" s="1"/>
  <c r="A36" i="41" s="1"/>
  <c r="A37" i="41" s="1"/>
  <c r="A38" i="41" s="1"/>
  <c r="A39" i="41" s="1"/>
  <c r="A40" i="41" s="1"/>
  <c r="A41" i="41" s="1"/>
  <c r="A42" i="41" s="1"/>
  <c r="A48" i="41" s="1"/>
  <c r="A49" i="41" s="1"/>
  <c r="E267" i="2"/>
  <c r="E266" i="2"/>
  <c r="I897" i="20"/>
  <c r="I452" i="20"/>
  <c r="G82" i="39"/>
  <c r="G44" i="39"/>
  <c r="G21" i="38"/>
  <c r="G58" i="38"/>
  <c r="G58" i="39"/>
  <c r="G42" i="39"/>
  <c r="G34" i="39"/>
  <c r="G26" i="39"/>
  <c r="G163" i="38"/>
  <c r="I110" i="39"/>
  <c r="G62" i="39"/>
  <c r="G66" i="38"/>
  <c r="G132" i="38"/>
  <c r="G100" i="38"/>
  <c r="G87" i="38"/>
  <c r="G41" i="38"/>
  <c r="G90" i="39"/>
  <c r="G123" i="38"/>
  <c r="G102" i="39"/>
  <c r="G134" i="38"/>
  <c r="G118" i="38"/>
  <c r="G110" i="38"/>
  <c r="G102" i="38"/>
  <c r="G33" i="38"/>
  <c r="G30" i="38"/>
  <c r="F102" i="13"/>
  <c r="G102" i="13" s="1"/>
  <c r="G173" i="38"/>
  <c r="G22" i="39"/>
  <c r="F177" i="38"/>
  <c r="F183" i="38" s="1"/>
  <c r="G148" i="38"/>
  <c r="G140" i="38"/>
  <c r="I184" i="38"/>
  <c r="G74" i="39"/>
  <c r="G18" i="39"/>
  <c r="G62" i="38"/>
  <c r="G38" i="39"/>
  <c r="G104" i="38"/>
  <c r="A181" i="38"/>
  <c r="G106" i="39"/>
  <c r="G76" i="38"/>
  <c r="G29" i="38"/>
  <c r="G91" i="39"/>
  <c r="G88" i="39"/>
  <c r="J110" i="39"/>
  <c r="A75" i="35"/>
  <c r="A76" i="35" s="1"/>
  <c r="A77" i="35" s="1"/>
  <c r="A78" i="35" s="1"/>
  <c r="A79" i="35" s="1"/>
  <c r="A80" i="35" s="1"/>
  <c r="A84" i="35" s="1"/>
  <c r="E111" i="2"/>
  <c r="G138" i="38"/>
  <c r="D197" i="38"/>
  <c r="G174" i="38"/>
  <c r="G170" i="38"/>
  <c r="G122" i="38"/>
  <c r="G79" i="38"/>
  <c r="G28" i="38"/>
  <c r="G93" i="39"/>
  <c r="G65" i="39"/>
  <c r="G46" i="39"/>
  <c r="G19" i="39"/>
  <c r="G151" i="38"/>
  <c r="G86" i="38"/>
  <c r="G72" i="39"/>
  <c r="G154" i="38"/>
  <c r="G127" i="38"/>
  <c r="F80" i="35"/>
  <c r="G113" i="2" s="1"/>
  <c r="L113" i="2" s="1"/>
  <c r="I72" i="38"/>
  <c r="S22" i="21"/>
  <c r="G116" i="38"/>
  <c r="G68" i="38"/>
  <c r="G60" i="39"/>
  <c r="G159" i="38"/>
  <c r="G108" i="38"/>
  <c r="G89" i="39"/>
  <c r="G64" i="39"/>
  <c r="G75" i="39"/>
  <c r="G126" i="38"/>
  <c r="G91" i="38"/>
  <c r="G88" i="38"/>
  <c r="F71" i="38"/>
  <c r="G63" i="39"/>
  <c r="G165" i="38"/>
  <c r="G92" i="39"/>
  <c r="G168" i="38"/>
  <c r="G119" i="38"/>
  <c r="C103" i="41"/>
  <c r="C105" i="41" s="1"/>
  <c r="G94" i="38"/>
  <c r="G94" i="39"/>
  <c r="A3" i="8"/>
  <c r="S17" i="21"/>
  <c r="E101" i="41"/>
  <c r="E104" i="41" s="1"/>
  <c r="C104" i="41"/>
  <c r="G164" i="38"/>
  <c r="G103" i="38"/>
  <c r="G65" i="38"/>
  <c r="G40" i="38"/>
  <c r="G100" i="39"/>
  <c r="G84" i="39"/>
  <c r="G59" i="39"/>
  <c r="G142" i="38"/>
  <c r="D72" i="38"/>
  <c r="G40" i="39"/>
  <c r="G180" i="38"/>
  <c r="G171" i="38"/>
  <c r="G156" i="38"/>
  <c r="G90" i="38"/>
  <c r="G63" i="38"/>
  <c r="G38" i="38"/>
  <c r="G32" i="38"/>
  <c r="G85" i="39"/>
  <c r="G76" i="39"/>
  <c r="G73" i="39"/>
  <c r="G54" i="39"/>
  <c r="G49" i="39"/>
  <c r="G35" i="39"/>
  <c r="G30" i="39"/>
  <c r="G27" i="39"/>
  <c r="G24" i="39"/>
  <c r="C910" i="20"/>
  <c r="C911" i="20" s="1"/>
  <c r="C912" i="20" s="1"/>
  <c r="C913" i="20" s="1"/>
  <c r="C914" i="20" s="1"/>
  <c r="C915" i="20" s="1"/>
  <c r="C916" i="20" s="1"/>
  <c r="C917" i="20" s="1"/>
  <c r="C918" i="20" s="1"/>
  <c r="C919" i="20" s="1"/>
  <c r="C920" i="20" s="1"/>
  <c r="C921" i="20" s="1"/>
  <c r="C922" i="20" s="1"/>
  <c r="C923" i="20" s="1"/>
  <c r="C924" i="20" s="1"/>
  <c r="C925" i="20" s="1"/>
  <c r="C926" i="20" s="1"/>
  <c r="C927" i="20" s="1"/>
  <c r="C928" i="20" s="1"/>
  <c r="C929" i="20" s="1"/>
  <c r="C930" i="20" s="1"/>
  <c r="C931" i="20" s="1"/>
  <c r="C932" i="20" s="1"/>
  <c r="C933" i="20" s="1"/>
  <c r="C934" i="20" s="1"/>
  <c r="C935" i="20" s="1"/>
  <c r="C936" i="20" s="1"/>
  <c r="C937" i="20" s="1"/>
  <c r="C938" i="20" s="1"/>
  <c r="C939" i="20" s="1"/>
  <c r="C940" i="20" s="1"/>
  <c r="C941" i="20" s="1"/>
  <c r="C942" i="20" s="1"/>
  <c r="C943" i="20" s="1"/>
  <c r="C944" i="20" s="1"/>
  <c r="C945" i="20" s="1"/>
  <c r="C946" i="20" s="1"/>
  <c r="C947" i="20" s="1"/>
  <c r="C948" i="20" s="1"/>
  <c r="C949" i="20" s="1"/>
  <c r="C950" i="20" s="1"/>
  <c r="C951" i="20" s="1"/>
  <c r="C952" i="20" s="1"/>
  <c r="C953" i="20" s="1"/>
  <c r="C954" i="20" s="1"/>
  <c r="C955" i="20" s="1"/>
  <c r="C956" i="20" s="1"/>
  <c r="C957" i="20" s="1"/>
  <c r="C958" i="20" s="1"/>
  <c r="C959" i="20" s="1"/>
  <c r="C960" i="20" s="1"/>
  <c r="C961" i="20" s="1"/>
  <c r="C962" i="20" s="1"/>
  <c r="C963" i="20" s="1"/>
  <c r="G78" i="38"/>
  <c r="G67" i="38"/>
  <c r="G57" i="38"/>
  <c r="G34" i="38"/>
  <c r="G81" i="39"/>
  <c r="G56" i="39"/>
  <c r="G48" i="39"/>
  <c r="G167" i="38"/>
  <c r="G150" i="38"/>
  <c r="C184" i="38"/>
  <c r="G70" i="39"/>
  <c r="G32" i="39"/>
  <c r="C466" i="20"/>
  <c r="C467" i="20" s="1"/>
  <c r="C468" i="20" s="1"/>
  <c r="C469" i="20" s="1"/>
  <c r="C470" i="20" s="1"/>
  <c r="C471" i="20" s="1"/>
  <c r="C472" i="20" s="1"/>
  <c r="C473" i="20" s="1"/>
  <c r="C474" i="20" s="1"/>
  <c r="C475" i="20" s="1"/>
  <c r="C476" i="20" s="1"/>
  <c r="C477" i="20" s="1"/>
  <c r="C478" i="20" s="1"/>
  <c r="C479" i="20" s="1"/>
  <c r="C480" i="20" s="1"/>
  <c r="C481" i="20" s="1"/>
  <c r="C482" i="20" s="1"/>
  <c r="C483" i="20" s="1"/>
  <c r="C484" i="20" s="1"/>
  <c r="C485" i="20" s="1"/>
  <c r="C486" i="20" s="1"/>
  <c r="C487" i="20" s="1"/>
  <c r="C488" i="20" s="1"/>
  <c r="C489" i="20" s="1"/>
  <c r="C490" i="20" s="1"/>
  <c r="C491" i="20" s="1"/>
  <c r="C492" i="20" s="1"/>
  <c r="C493" i="20" s="1"/>
  <c r="C494" i="20" s="1"/>
  <c r="C495" i="20" s="1"/>
  <c r="C496" i="20" s="1"/>
  <c r="C497" i="20" s="1"/>
  <c r="C498" i="20" s="1"/>
  <c r="C499" i="20" s="1"/>
  <c r="C500" i="20" s="1"/>
  <c r="C501" i="20" s="1"/>
  <c r="C502" i="20" s="1"/>
  <c r="C503" i="20" s="1"/>
  <c r="C504" i="20" s="1"/>
  <c r="C505" i="20" s="1"/>
  <c r="C506" i="20" s="1"/>
  <c r="C507" i="20" s="1"/>
  <c r="C508" i="20" s="1"/>
  <c r="C509" i="20" s="1"/>
  <c r="C510" i="20" s="1"/>
  <c r="C511" i="20" s="1"/>
  <c r="C512" i="20" s="1"/>
  <c r="C513" i="20" s="1"/>
  <c r="C514" i="20" s="1"/>
  <c r="C515" i="20" s="1"/>
  <c r="C516" i="20" s="1"/>
  <c r="C517" i="20" s="1"/>
  <c r="C518" i="20" s="1"/>
  <c r="G181" i="38"/>
  <c r="G143" i="38"/>
  <c r="G107" i="38"/>
  <c r="G61" i="38"/>
  <c r="G50" i="38"/>
  <c r="G44" i="38"/>
  <c r="G33" i="39"/>
  <c r="C1175" i="20"/>
  <c r="C1176" i="20" s="1"/>
  <c r="C1177" i="20" s="1"/>
  <c r="C1178" i="20" s="1"/>
  <c r="C1179" i="20" s="1"/>
  <c r="C1180" i="20" s="1"/>
  <c r="C1181" i="20" s="1"/>
  <c r="C1182" i="20" s="1"/>
  <c r="C1183" i="20" s="1"/>
  <c r="C1184" i="20" s="1"/>
  <c r="C1185" i="20" s="1"/>
  <c r="C1186" i="20" s="1"/>
  <c r="C1187" i="20" s="1"/>
  <c r="C1188" i="20" s="1"/>
  <c r="C1189" i="20" s="1"/>
  <c r="C1190" i="20" s="1"/>
  <c r="C1191" i="20" s="1"/>
  <c r="C1192" i="20" s="1"/>
  <c r="C1193" i="20" s="1"/>
  <c r="C1194" i="20" s="1"/>
  <c r="C1195" i="20" s="1"/>
  <c r="C1196" i="20" s="1"/>
  <c r="C1197" i="20" s="1"/>
  <c r="C1198" i="20" s="1"/>
  <c r="C1199" i="20" s="1"/>
  <c r="C1200" i="20" s="1"/>
  <c r="C1201" i="20" s="1"/>
  <c r="C1202" i="20" s="1"/>
  <c r="C1203" i="20" s="1"/>
  <c r="C1204" i="20" s="1"/>
  <c r="C1205" i="20" s="1"/>
  <c r="C1206" i="20" s="1"/>
  <c r="C1207" i="20" s="1"/>
  <c r="C1208" i="20" s="1"/>
  <c r="C1209" i="20" s="1"/>
  <c r="C1210" i="20" s="1"/>
  <c r="C1211" i="20" s="1"/>
  <c r="C1212" i="20" s="1"/>
  <c r="C1213" i="20" s="1"/>
  <c r="C1214" i="20" s="1"/>
  <c r="C1215" i="20" s="1"/>
  <c r="C1216" i="20" s="1"/>
  <c r="C1217" i="20" s="1"/>
  <c r="C1218" i="20" s="1"/>
  <c r="C1219" i="20" s="1"/>
  <c r="C1220" i="20" s="1"/>
  <c r="C1221" i="20" s="1"/>
  <c r="C1222" i="20" s="1"/>
  <c r="C1223" i="20" s="1"/>
  <c r="C1224" i="20" s="1"/>
  <c r="C1225" i="20" s="1"/>
  <c r="C1226" i="20" s="1"/>
  <c r="C1227" i="20" s="1"/>
  <c r="C1228" i="20" s="1"/>
  <c r="C1229" i="20" s="1"/>
  <c r="C1230" i="20" s="1"/>
  <c r="G92" i="38"/>
  <c r="G104" i="39"/>
  <c r="G120" i="38"/>
  <c r="G43" i="39"/>
  <c r="C1266" i="20"/>
  <c r="C1267" i="20" s="1"/>
  <c r="C1268" i="20" s="1"/>
  <c r="C1269" i="20" s="1"/>
  <c r="C1270" i="20" s="1"/>
  <c r="C1271" i="20" s="1"/>
  <c r="C1272" i="20" s="1"/>
  <c r="C1273" i="20" s="1"/>
  <c r="C1274" i="20" s="1"/>
  <c r="C1275" i="20" s="1"/>
  <c r="C1276" i="20" s="1"/>
  <c r="C1277" i="20" s="1"/>
  <c r="C1278" i="20" s="1"/>
  <c r="C1279" i="20" s="1"/>
  <c r="C1280" i="20" s="1"/>
  <c r="C1281" i="20" s="1"/>
  <c r="C1282" i="20" s="1"/>
  <c r="C1283" i="20" s="1"/>
  <c r="C1284" i="20" s="1"/>
  <c r="C1285" i="20" s="1"/>
  <c r="C1286" i="20" s="1"/>
  <c r="C1287" i="20" s="1"/>
  <c r="C1288" i="20" s="1"/>
  <c r="C1289" i="20" s="1"/>
  <c r="C1290" i="20" s="1"/>
  <c r="C1291" i="20" s="1"/>
  <c r="C1292" i="20" s="1"/>
  <c r="C1293" i="20" s="1"/>
  <c r="C1294" i="20" s="1"/>
  <c r="C1295" i="20" s="1"/>
  <c r="C1296" i="20" s="1"/>
  <c r="C1297" i="20" s="1"/>
  <c r="C1298" i="20" s="1"/>
  <c r="C1299" i="20" s="1"/>
  <c r="C1300" i="20" s="1"/>
  <c r="C1301" i="20" s="1"/>
  <c r="C1302" i="20" s="1"/>
  <c r="C1303" i="20" s="1"/>
  <c r="C1304" i="20" s="1"/>
  <c r="C1305" i="20" s="1"/>
  <c r="C1306" i="20" s="1"/>
  <c r="C1307" i="20" s="1"/>
  <c r="C1308" i="20" s="1"/>
  <c r="C1309" i="20" s="1"/>
  <c r="C1310" i="20" s="1"/>
  <c r="C1311" i="20" s="1"/>
  <c r="C1312" i="20" s="1"/>
  <c r="C1313" i="20" s="1"/>
  <c r="C1314" i="20" s="1"/>
  <c r="C1315" i="20" s="1"/>
  <c r="C1316" i="20" s="1"/>
  <c r="C1317" i="20" s="1"/>
  <c r="C1318" i="20" s="1"/>
  <c r="C1319" i="20" s="1"/>
  <c r="C554" i="20"/>
  <c r="C555" i="20" s="1"/>
  <c r="C556" i="20" s="1"/>
  <c r="C557" i="20" s="1"/>
  <c r="C558" i="20" s="1"/>
  <c r="C559" i="20" s="1"/>
  <c r="C560" i="20" s="1"/>
  <c r="C561" i="20" s="1"/>
  <c r="C562" i="20" s="1"/>
  <c r="C563" i="20" s="1"/>
  <c r="C564" i="20" s="1"/>
  <c r="C565" i="20" s="1"/>
  <c r="C566" i="20" s="1"/>
  <c r="C567" i="20" s="1"/>
  <c r="C568" i="20" s="1"/>
  <c r="C569" i="20" s="1"/>
  <c r="C570" i="20" s="1"/>
  <c r="C571" i="20" s="1"/>
  <c r="C572" i="20" s="1"/>
  <c r="C573" i="20" s="1"/>
  <c r="C574" i="20" s="1"/>
  <c r="C575" i="20" s="1"/>
  <c r="C576" i="20" s="1"/>
  <c r="C577" i="20" s="1"/>
  <c r="C578" i="20" s="1"/>
  <c r="C579" i="20" s="1"/>
  <c r="C580" i="20" s="1"/>
  <c r="C581" i="20" s="1"/>
  <c r="C582" i="20" s="1"/>
  <c r="C583" i="20" s="1"/>
  <c r="C584" i="20" s="1"/>
  <c r="C585" i="20" s="1"/>
  <c r="C586" i="20" s="1"/>
  <c r="C587" i="20" s="1"/>
  <c r="C588" i="20" s="1"/>
  <c r="C589" i="20" s="1"/>
  <c r="C590" i="20" s="1"/>
  <c r="C591" i="20" s="1"/>
  <c r="C592" i="20" s="1"/>
  <c r="C593" i="20" s="1"/>
  <c r="C594" i="20" s="1"/>
  <c r="C595" i="20" s="1"/>
  <c r="C596" i="20" s="1"/>
  <c r="C597" i="20" s="1"/>
  <c r="C598" i="20" s="1"/>
  <c r="C599" i="20" s="1"/>
  <c r="C600" i="20" s="1"/>
  <c r="C601" i="20" s="1"/>
  <c r="C602" i="20" s="1"/>
  <c r="C603" i="20" s="1"/>
  <c r="C604" i="20" s="1"/>
  <c r="C605" i="20" s="1"/>
  <c r="C606" i="20" s="1"/>
  <c r="C607" i="20" s="1"/>
  <c r="J109" i="39"/>
  <c r="C643" i="20"/>
  <c r="C644" i="20" s="1"/>
  <c r="C645" i="20" s="1"/>
  <c r="C646" i="20" s="1"/>
  <c r="C647" i="20" s="1"/>
  <c r="C648" i="20" s="1"/>
  <c r="C649" i="20" s="1"/>
  <c r="C650" i="20" s="1"/>
  <c r="C651" i="20" s="1"/>
  <c r="C652" i="20" s="1"/>
  <c r="C653" i="20" s="1"/>
  <c r="C654" i="20" s="1"/>
  <c r="C655" i="20" s="1"/>
  <c r="C656" i="20" s="1"/>
  <c r="C657" i="20" s="1"/>
  <c r="C658" i="20" s="1"/>
  <c r="C659" i="20" s="1"/>
  <c r="C660" i="20" s="1"/>
  <c r="C661" i="20" s="1"/>
  <c r="C662" i="20" s="1"/>
  <c r="C663" i="20" s="1"/>
  <c r="C664" i="20" s="1"/>
  <c r="C665" i="20" s="1"/>
  <c r="C666" i="20" s="1"/>
  <c r="C667" i="20" s="1"/>
  <c r="C668" i="20" s="1"/>
  <c r="C669" i="20" s="1"/>
  <c r="C670" i="20" s="1"/>
  <c r="C671" i="20" s="1"/>
  <c r="C672" i="20" s="1"/>
  <c r="C673" i="20" s="1"/>
  <c r="C674" i="20" s="1"/>
  <c r="C675" i="20" s="1"/>
  <c r="C676" i="20" s="1"/>
  <c r="C677" i="20" s="1"/>
  <c r="C678" i="20" s="1"/>
  <c r="C679" i="20" s="1"/>
  <c r="C680" i="20" s="1"/>
  <c r="C681" i="20" s="1"/>
  <c r="C682" i="20" s="1"/>
  <c r="C683" i="20" s="1"/>
  <c r="C684" i="20" s="1"/>
  <c r="C685" i="20" s="1"/>
  <c r="C686" i="20" s="1"/>
  <c r="C687" i="20" s="1"/>
  <c r="C688" i="20" s="1"/>
  <c r="C689" i="20" s="1"/>
  <c r="C690" i="20" s="1"/>
  <c r="C691" i="20" s="1"/>
  <c r="C692" i="20" s="1"/>
  <c r="C693" i="20" s="1"/>
  <c r="C694" i="20" s="1"/>
  <c r="C695" i="20" s="1"/>
  <c r="C696" i="20" s="1"/>
  <c r="I71" i="38"/>
  <c r="G51" i="39"/>
  <c r="I197" i="38"/>
  <c r="G135" i="38"/>
  <c r="G124" i="38"/>
  <c r="G56" i="38"/>
  <c r="G48" i="38"/>
  <c r="G36" i="38"/>
  <c r="J72" i="38"/>
  <c r="G98" i="39"/>
  <c r="G83" i="39"/>
  <c r="G80" i="39"/>
  <c r="G66" i="39"/>
  <c r="G47" i="39"/>
  <c r="G28" i="39"/>
  <c r="G172" i="38"/>
  <c r="G161" i="38"/>
  <c r="G136" i="38"/>
  <c r="G78" i="39"/>
  <c r="G67" i="39"/>
  <c r="G95" i="38"/>
  <c r="G84" i="38"/>
  <c r="G52" i="38"/>
  <c r="G155" i="38"/>
  <c r="G152" i="38"/>
  <c r="G111" i="38"/>
  <c r="G59" i="38"/>
  <c r="G42" i="38"/>
  <c r="G37" i="38"/>
  <c r="G86" i="39"/>
  <c r="G50" i="39"/>
  <c r="G31" i="39"/>
  <c r="C733" i="20"/>
  <c r="C734" i="20" s="1"/>
  <c r="C735" i="20" s="1"/>
  <c r="C736" i="20" s="1"/>
  <c r="C737" i="20" s="1"/>
  <c r="C738" i="20" s="1"/>
  <c r="C739" i="20" s="1"/>
  <c r="C740" i="20" s="1"/>
  <c r="C741" i="20" s="1"/>
  <c r="C742" i="20" s="1"/>
  <c r="C743" i="20" s="1"/>
  <c r="C744" i="20" s="1"/>
  <c r="C745" i="20" s="1"/>
  <c r="C746" i="20" s="1"/>
  <c r="C747" i="20" s="1"/>
  <c r="C748" i="20" s="1"/>
  <c r="C749" i="20" s="1"/>
  <c r="C750" i="20" s="1"/>
  <c r="C751" i="20" s="1"/>
  <c r="C752" i="20" s="1"/>
  <c r="C753" i="20" s="1"/>
  <c r="C754" i="20" s="1"/>
  <c r="C755" i="20" s="1"/>
  <c r="C756" i="20" s="1"/>
  <c r="C757" i="20" s="1"/>
  <c r="C758" i="20" s="1"/>
  <c r="C759" i="20" s="1"/>
  <c r="C760" i="20" s="1"/>
  <c r="C761" i="20" s="1"/>
  <c r="C762" i="20" s="1"/>
  <c r="C763" i="20" s="1"/>
  <c r="C764" i="20" s="1"/>
  <c r="C765" i="20" s="1"/>
  <c r="C766" i="20" s="1"/>
  <c r="C767" i="20" s="1"/>
  <c r="C768" i="20" s="1"/>
  <c r="C769" i="20" s="1"/>
  <c r="C770" i="20" s="1"/>
  <c r="C771" i="20" s="1"/>
  <c r="C772" i="20" s="1"/>
  <c r="C773" i="20" s="1"/>
  <c r="C774" i="20" s="1"/>
  <c r="C775" i="20" s="1"/>
  <c r="C776" i="20" s="1"/>
  <c r="C777" i="20" s="1"/>
  <c r="C778" i="20" s="1"/>
  <c r="C779" i="20" s="1"/>
  <c r="C780" i="20" s="1"/>
  <c r="C781" i="20" s="1"/>
  <c r="C782" i="20" s="1"/>
  <c r="C783" i="20" s="1"/>
  <c r="C784" i="20" s="1"/>
  <c r="C785" i="20" s="1"/>
  <c r="I541" i="20"/>
  <c r="I95" i="20"/>
  <c r="I185" i="20"/>
  <c r="I719" i="20"/>
  <c r="I808" i="20"/>
  <c r="I363" i="20"/>
  <c r="J197" i="38"/>
  <c r="G146" i="38"/>
  <c r="I177" i="38"/>
  <c r="I183" i="38" s="1"/>
  <c r="G131" i="38"/>
  <c r="G128" i="38"/>
  <c r="G114" i="38"/>
  <c r="J184" i="38"/>
  <c r="G99" i="38"/>
  <c r="G96" i="38"/>
  <c r="G82" i="38"/>
  <c r="C71" i="38"/>
  <c r="G64" i="38"/>
  <c r="G60" i="38"/>
  <c r="G54" i="38"/>
  <c r="G53" i="38"/>
  <c r="G46" i="38"/>
  <c r="G45" i="38"/>
  <c r="K71" i="38"/>
  <c r="G17" i="38"/>
  <c r="G107" i="39"/>
  <c r="G95" i="39"/>
  <c r="G87" i="39"/>
  <c r="G79" i="39"/>
  <c r="K110" i="39"/>
  <c r="G71" i="39"/>
  <c r="G68" i="39"/>
  <c r="G61" i="39"/>
  <c r="G55" i="39"/>
  <c r="G52" i="39"/>
  <c r="G45" i="39"/>
  <c r="G39" i="39"/>
  <c r="G36" i="39"/>
  <c r="G29" i="39"/>
  <c r="G23" i="39"/>
  <c r="G20" i="39"/>
  <c r="D103" i="41"/>
  <c r="D105" i="41" s="1"/>
  <c r="O33" i="21"/>
  <c r="G217" i="2" s="1"/>
  <c r="G20" i="38"/>
  <c r="C110" i="39"/>
  <c r="G57" i="39"/>
  <c r="G41" i="39"/>
  <c r="G25" i="39"/>
  <c r="E100" i="41"/>
  <c r="E103" i="41" s="1"/>
  <c r="D20" i="5"/>
  <c r="K197" i="38"/>
  <c r="G162" i="38"/>
  <c r="G147" i="38"/>
  <c r="G144" i="38"/>
  <c r="K184" i="38"/>
  <c r="G130" i="38"/>
  <c r="D177" i="38"/>
  <c r="D183" i="38" s="1"/>
  <c r="G115" i="38"/>
  <c r="G112" i="38"/>
  <c r="G98" i="38"/>
  <c r="G83" i="38"/>
  <c r="G80" i="38"/>
  <c r="G49" i="38"/>
  <c r="G69" i="39"/>
  <c r="G53" i="39"/>
  <c r="G37" i="39"/>
  <c r="G21" i="39"/>
  <c r="N90" i="13"/>
  <c r="O21" i="13" s="1"/>
  <c r="F356" i="2"/>
  <c r="G197" i="2" s="1"/>
  <c r="G201" i="2" s="1"/>
  <c r="P111" i="13"/>
  <c r="P107" i="13"/>
  <c r="P103" i="13"/>
  <c r="P105" i="13"/>
  <c r="P155" i="13"/>
  <c r="P151" i="13"/>
  <c r="P147" i="13"/>
  <c r="P143" i="13"/>
  <c r="P139" i="13"/>
  <c r="P125" i="13"/>
  <c r="P159" i="13"/>
  <c r="P134" i="13"/>
  <c r="P129" i="13"/>
  <c r="P118" i="13"/>
  <c r="P117" i="13"/>
  <c r="P102" i="13"/>
  <c r="I1164" i="20"/>
  <c r="I1075" i="20"/>
  <c r="H33" i="41"/>
  <c r="H37" i="41"/>
  <c r="H41" i="41"/>
  <c r="E69" i="41"/>
  <c r="G10" i="41"/>
  <c r="H43" i="48"/>
  <c r="H34" i="41"/>
  <c r="P130" i="13"/>
  <c r="P126" i="13"/>
  <c r="P114" i="13"/>
  <c r="P110" i="13"/>
  <c r="J47" i="48"/>
  <c r="I18" i="5"/>
  <c r="I21" i="6"/>
  <c r="G121" i="2" s="1"/>
  <c r="P141" i="13"/>
  <c r="P137" i="13"/>
  <c r="P133" i="13"/>
  <c r="P121" i="13"/>
  <c r="P113" i="13"/>
  <c r="P109" i="13"/>
  <c r="G14" i="41"/>
  <c r="G18" i="41"/>
  <c r="F255" i="2"/>
  <c r="L251" i="2"/>
  <c r="H254" i="2"/>
  <c r="L254" i="2"/>
  <c r="P128" i="13"/>
  <c r="P124" i="13"/>
  <c r="P123" i="13"/>
  <c r="P120" i="13"/>
  <c r="P116" i="13"/>
  <c r="P112" i="13"/>
  <c r="H39" i="41"/>
  <c r="H38" i="41"/>
  <c r="K37" i="48"/>
  <c r="D47" i="48"/>
  <c r="I47" i="48"/>
  <c r="E66" i="41"/>
  <c r="E70" i="41"/>
  <c r="F74" i="41"/>
  <c r="E65" i="41"/>
  <c r="P157" i="13"/>
  <c r="P153" i="13"/>
  <c r="P145" i="13"/>
  <c r="L267" i="2"/>
  <c r="H29" i="41"/>
  <c r="H31" i="41"/>
  <c r="H47" i="48"/>
  <c r="P158" i="13"/>
  <c r="P146" i="13"/>
  <c r="P142" i="13"/>
  <c r="P138" i="13"/>
  <c r="P106" i="13"/>
  <c r="L264" i="2"/>
  <c r="G16" i="41"/>
  <c r="F43" i="48"/>
  <c r="J43" i="48"/>
  <c r="P132" i="13"/>
  <c r="H30" i="41"/>
  <c r="C21" i="7"/>
  <c r="C23" i="7" s="1"/>
  <c r="G129" i="2" s="1"/>
  <c r="L129" i="2" s="1"/>
  <c r="G161" i="2"/>
  <c r="D43" i="48"/>
  <c r="H36" i="41"/>
  <c r="H40" i="41"/>
  <c r="I17" i="6"/>
  <c r="G119" i="2" s="1"/>
  <c r="I43" i="48"/>
  <c r="I50" i="5"/>
  <c r="F85" i="35"/>
  <c r="F88" i="35" s="1"/>
  <c r="G115" i="2" s="1"/>
  <c r="H249" i="2"/>
  <c r="L249" i="2"/>
  <c r="P144" i="13"/>
  <c r="P122" i="13"/>
  <c r="P119" i="13"/>
  <c r="P108" i="13"/>
  <c r="P104" i="13"/>
  <c r="H35" i="41"/>
  <c r="A26" i="5"/>
  <c r="A27" i="5" s="1"/>
  <c r="A28" i="5" s="1"/>
  <c r="A31" i="5" s="1"/>
  <c r="A33" i="5" s="1"/>
  <c r="E66" i="2"/>
  <c r="E70" i="2"/>
  <c r="E72" i="2"/>
  <c r="E74" i="2"/>
  <c r="A29" i="35"/>
  <c r="A30" i="35" s="1"/>
  <c r="A31" i="35" s="1"/>
  <c r="A32" i="35" s="1"/>
  <c r="A33" i="35" s="1"/>
  <c r="A34" i="35" s="1"/>
  <c r="A35" i="35" s="1"/>
  <c r="A36" i="35" s="1"/>
  <c r="A37" i="35" s="1"/>
  <c r="A38" i="35" s="1"/>
  <c r="A39" i="35" s="1"/>
  <c r="A40" i="35" s="1"/>
  <c r="A41" i="35" s="1"/>
  <c r="A42" i="35" s="1"/>
  <c r="E71" i="2"/>
  <c r="E69" i="2"/>
  <c r="E67" i="2"/>
  <c r="E73" i="2"/>
  <c r="E22" i="13"/>
  <c r="E22" i="20"/>
  <c r="E31" i="2"/>
  <c r="B31" i="2"/>
  <c r="B33" i="2" s="1"/>
  <c r="B34" i="2" s="1"/>
  <c r="D33" i="2"/>
  <c r="K177" i="38"/>
  <c r="K183" i="38" s="1"/>
  <c r="J177" i="38"/>
  <c r="J183" i="38" s="1"/>
  <c r="F48" i="13"/>
  <c r="G48" i="20"/>
  <c r="G195" i="38"/>
  <c r="G166" i="38"/>
  <c r="G139" i="38"/>
  <c r="D184" i="38"/>
  <c r="C197" i="38"/>
  <c r="G194" i="38"/>
  <c r="C177" i="38"/>
  <c r="C183" i="38" s="1"/>
  <c r="E20" i="2"/>
  <c r="A184" i="38"/>
  <c r="D35" i="5"/>
  <c r="E177" i="38"/>
  <c r="E183" i="38" s="1"/>
  <c r="G169" i="38"/>
  <c r="G158" i="38"/>
  <c r="G106" i="38"/>
  <c r="F23" i="38"/>
  <c r="C47" i="20"/>
  <c r="C47" i="13"/>
  <c r="G157" i="38"/>
  <c r="G149" i="38"/>
  <c r="G141" i="38"/>
  <c r="G133" i="38"/>
  <c r="G125" i="38"/>
  <c r="G117" i="38"/>
  <c r="G109" i="38"/>
  <c r="G101" i="38"/>
  <c r="G93" i="38"/>
  <c r="G85" i="38"/>
  <c r="G77" i="38"/>
  <c r="C72" i="38"/>
  <c r="D71" i="38"/>
  <c r="E71" i="38"/>
  <c r="E23" i="38"/>
  <c r="G19" i="38"/>
  <c r="G96" i="39"/>
  <c r="E109" i="39"/>
  <c r="G77" i="39"/>
  <c r="D110" i="39"/>
  <c r="E191" i="2"/>
  <c r="A48" i="11"/>
  <c r="G153" i="38"/>
  <c r="G145" i="38"/>
  <c r="G137" i="38"/>
  <c r="G129" i="38"/>
  <c r="G121" i="38"/>
  <c r="G113" i="38"/>
  <c r="G105" i="38"/>
  <c r="G97" i="38"/>
  <c r="G89" i="38"/>
  <c r="G81" i="38"/>
  <c r="F109" i="39"/>
  <c r="K109" i="39"/>
  <c r="A23" i="7"/>
  <c r="B23" i="7"/>
  <c r="J71" i="38"/>
  <c r="D109" i="39"/>
  <c r="G51" i="38"/>
  <c r="G43" i="38"/>
  <c r="K72" i="38"/>
  <c r="G35" i="38"/>
  <c r="C109" i="39"/>
  <c r="G103" i="39"/>
  <c r="G99" i="39"/>
  <c r="P161" i="13"/>
  <c r="P149" i="13"/>
  <c r="P127" i="13"/>
  <c r="N91" i="13"/>
  <c r="M91" i="13"/>
  <c r="M90" i="13"/>
  <c r="P115" i="13"/>
  <c r="G55" i="38"/>
  <c r="G47" i="38"/>
  <c r="G39" i="38"/>
  <c r="G31" i="38"/>
  <c r="G105" i="39"/>
  <c r="G101" i="39"/>
  <c r="G97" i="39"/>
  <c r="I109" i="39"/>
  <c r="G17" i="39"/>
  <c r="A28" i="48"/>
  <c r="A37" i="48" s="1"/>
  <c r="B28" i="48"/>
  <c r="I1342" i="20"/>
  <c r="I630" i="20"/>
  <c r="I986" i="20"/>
  <c r="P156" i="13"/>
  <c r="P152" i="13"/>
  <c r="P135" i="13"/>
  <c r="I274" i="20"/>
  <c r="P160" i="13"/>
  <c r="P154" i="13"/>
  <c r="P150" i="13"/>
  <c r="P148" i="13"/>
  <c r="P136" i="13"/>
  <c r="P131" i="13"/>
  <c r="S27" i="21"/>
  <c r="G151" i="2"/>
  <c r="G20" i="41"/>
  <c r="G22" i="41"/>
  <c r="G15" i="41"/>
  <c r="G13" i="41"/>
  <c r="G17" i="41"/>
  <c r="G21" i="41"/>
  <c r="G43" i="48"/>
  <c r="F47" i="48"/>
  <c r="E64" i="41"/>
  <c r="C74" i="41"/>
  <c r="E50" i="41" s="1"/>
  <c r="L266" i="2"/>
  <c r="G11" i="41"/>
  <c r="G47" i="48"/>
  <c r="K45" i="48"/>
  <c r="P140" i="13"/>
  <c r="H250" i="2"/>
  <c r="G255" i="2"/>
  <c r="E168" i="2" l="1"/>
  <c r="A64" i="9"/>
  <c r="A65" i="9" s="1"/>
  <c r="A66" i="9" s="1"/>
  <c r="E169" i="2"/>
  <c r="G23" i="41"/>
  <c r="H42" i="41"/>
  <c r="G271" i="2" s="1"/>
  <c r="E113" i="2"/>
  <c r="G72" i="38"/>
  <c r="D103" i="13"/>
  <c r="E103" i="13" s="1"/>
  <c r="F103" i="13" s="1"/>
  <c r="G23" i="38"/>
  <c r="D28" i="5"/>
  <c r="S33" i="21"/>
  <c r="L217" i="2" s="1"/>
  <c r="L209" i="2"/>
  <c r="E39" i="13" s="1"/>
  <c r="G109" i="39"/>
  <c r="G209" i="2"/>
  <c r="G110" i="39"/>
  <c r="G207" i="2"/>
  <c r="E105" i="41"/>
  <c r="L262" i="2"/>
  <c r="G184" i="38"/>
  <c r="L268" i="2"/>
  <c r="G273" i="2" s="1"/>
  <c r="H255" i="2"/>
  <c r="E76" i="41"/>
  <c r="K47" i="48"/>
  <c r="K43" i="48"/>
  <c r="C70" i="20"/>
  <c r="C70" i="13"/>
  <c r="B36" i="2"/>
  <c r="B37" i="2" s="1"/>
  <c r="D36" i="2"/>
  <c r="A39" i="48"/>
  <c r="A41" i="48" s="1"/>
  <c r="N21" i="13"/>
  <c r="P21" i="13" s="1"/>
  <c r="O90" i="13"/>
  <c r="A186" i="38"/>
  <c r="A188" i="38" s="1"/>
  <c r="A190" i="38" s="1"/>
  <c r="A192" i="38" s="1"/>
  <c r="A193" i="38" s="1"/>
  <c r="A194" i="38" s="1"/>
  <c r="A195" i="38" s="1"/>
  <c r="A196" i="38" s="1"/>
  <c r="A197" i="38" s="1"/>
  <c r="D52" i="5" s="1"/>
  <c r="D34" i="5"/>
  <c r="N22" i="13"/>
  <c r="M92" i="13"/>
  <c r="G177" i="38"/>
  <c r="G183" i="38" s="1"/>
  <c r="E81" i="2"/>
  <c r="E84" i="2"/>
  <c r="A49" i="35"/>
  <c r="A50" i="35" s="1"/>
  <c r="A51" i="35" s="1"/>
  <c r="A52" i="35" s="1"/>
  <c r="A53" i="35" s="1"/>
  <c r="A54" i="35" s="1"/>
  <c r="A55" i="35" s="1"/>
  <c r="A56" i="35" s="1"/>
  <c r="A57" i="35" s="1"/>
  <c r="A58" i="35" s="1"/>
  <c r="A59" i="35" s="1"/>
  <c r="A60" i="35" s="1"/>
  <c r="A61" i="35" s="1"/>
  <c r="A62" i="35" s="1"/>
  <c r="E80" i="2"/>
  <c r="E82" i="2"/>
  <c r="E86" i="2"/>
  <c r="E88" i="2"/>
  <c r="E83" i="2"/>
  <c r="E85" i="2"/>
  <c r="E87" i="2"/>
  <c r="G71" i="38"/>
  <c r="O91" i="13"/>
  <c r="O22" i="13"/>
  <c r="N92" i="13"/>
  <c r="A50" i="11"/>
  <c r="A51" i="11" s="1"/>
  <c r="G197" i="38"/>
  <c r="A50" i="41"/>
  <c r="A51" i="41" s="1"/>
  <c r="A52" i="41" s="1"/>
  <c r="A53" i="41" s="1"/>
  <c r="A54" i="41" s="1"/>
  <c r="A55" i="41" s="1"/>
  <c r="A56" i="41" s="1"/>
  <c r="A34" i="5"/>
  <c r="A35" i="5" s="1"/>
  <c r="A36" i="5" s="1"/>
  <c r="A39" i="5" s="1"/>
  <c r="A41" i="5" s="1"/>
  <c r="A67" i="9" l="1"/>
  <c r="A68" i="9" s="1"/>
  <c r="F39" i="20"/>
  <c r="B56" i="41"/>
  <c r="E159" i="2"/>
  <c r="C51" i="11"/>
  <c r="B43" i="48"/>
  <c r="G274" i="2"/>
  <c r="H272" i="2" s="1"/>
  <c r="N23" i="13"/>
  <c r="O92" i="13"/>
  <c r="D36" i="5"/>
  <c r="D235" i="2"/>
  <c r="D236" i="2"/>
  <c r="E261" i="2"/>
  <c r="A58" i="41"/>
  <c r="B58" i="41"/>
  <c r="B39" i="2"/>
  <c r="B42" i="2" s="1"/>
  <c r="B44" i="2" s="1"/>
  <c r="B24" i="2"/>
  <c r="A52" i="11"/>
  <c r="A53" i="11" s="1"/>
  <c r="P22" i="13"/>
  <c r="P23" i="13" s="1"/>
  <c r="O23" i="13"/>
  <c r="A42" i="5"/>
  <c r="A43" i="5" s="1"/>
  <c r="A44" i="5" s="1"/>
  <c r="A47" i="5" s="1"/>
  <c r="A49" i="5" s="1"/>
  <c r="A43" i="48"/>
  <c r="E160" i="2"/>
  <c r="D104" i="13"/>
  <c r="G103" i="13"/>
  <c r="A70" i="9" l="1"/>
  <c r="E170" i="2" s="1"/>
  <c r="D22" i="20"/>
  <c r="F22" i="20" s="1"/>
  <c r="H273" i="2"/>
  <c r="D44" i="5"/>
  <c r="H271" i="2"/>
  <c r="E77" i="41"/>
  <c r="E79" i="41" s="1"/>
  <c r="E80" i="41" s="1"/>
  <c r="E51" i="41" s="1"/>
  <c r="E56" i="41" s="1"/>
  <c r="L261" i="2" s="1"/>
  <c r="I272" i="2"/>
  <c r="L272" i="2"/>
  <c r="D22" i="13"/>
  <c r="F22" i="13" s="1"/>
  <c r="A45" i="48"/>
  <c r="B47" i="48" s="1"/>
  <c r="B45" i="2"/>
  <c r="A54" i="11"/>
  <c r="A55" i="11" s="1"/>
  <c r="A50" i="5"/>
  <c r="A51" i="5" s="1"/>
  <c r="A52" i="5" s="1"/>
  <c r="C53" i="11"/>
  <c r="A61" i="41"/>
  <c r="D271" i="2"/>
  <c r="E104" i="13"/>
  <c r="D23" i="20" l="1"/>
  <c r="F23" i="20" s="1"/>
  <c r="D21" i="20"/>
  <c r="D23" i="13"/>
  <c r="F23" i="13" s="1"/>
  <c r="L273" i="2"/>
  <c r="I273" i="2"/>
  <c r="I271" i="2" s="1"/>
  <c r="D21" i="13"/>
  <c r="E58" i="41"/>
  <c r="J271" i="2" s="1"/>
  <c r="L271" i="2" s="1"/>
  <c r="B46" i="2"/>
  <c r="B48" i="2" s="1"/>
  <c r="B66" i="2" s="1"/>
  <c r="D51" i="5"/>
  <c r="D63" i="41"/>
  <c r="A64" i="41"/>
  <c r="A56" i="11"/>
  <c r="C56" i="11"/>
  <c r="C55" i="11"/>
  <c r="A47" i="48"/>
  <c r="C21" i="48" s="1"/>
  <c r="E161" i="2"/>
  <c r="F104" i="13"/>
  <c r="D319" i="2" l="1"/>
  <c r="E48" i="2"/>
  <c r="L274" i="2"/>
  <c r="E21" i="13"/>
  <c r="F21" i="13" s="1"/>
  <c r="F24" i="13" s="1"/>
  <c r="E29" i="13" s="1"/>
  <c r="E21" i="20"/>
  <c r="F21" i="20" s="1"/>
  <c r="F24" i="20" s="1"/>
  <c r="F29" i="20" s="1"/>
  <c r="A57" i="11"/>
  <c r="C57" i="11"/>
  <c r="A65" i="41"/>
  <c r="A66" i="41" s="1"/>
  <c r="A67" i="41" s="1"/>
  <c r="A68" i="41" s="1"/>
  <c r="A69" i="41" s="1"/>
  <c r="A70" i="41" s="1"/>
  <c r="A71" i="41" s="1"/>
  <c r="A72" i="41" s="1"/>
  <c r="A73" i="41" s="1"/>
  <c r="A74" i="41" s="1"/>
  <c r="B67" i="2"/>
  <c r="B68" i="2" s="1"/>
  <c r="D105" i="13"/>
  <c r="G104" i="13"/>
  <c r="G198" i="2" l="1"/>
  <c r="E35" i="13" s="1"/>
  <c r="B76" i="41"/>
  <c r="A76" i="41"/>
  <c r="B50" i="41"/>
  <c r="C75" i="13"/>
  <c r="C75" i="20"/>
  <c r="B69" i="2"/>
  <c r="B70" i="2" s="1"/>
  <c r="E234" i="2"/>
  <c r="A58" i="11"/>
  <c r="C58" i="11"/>
  <c r="E105" i="13"/>
  <c r="F105" i="13" s="1"/>
  <c r="G219" i="2" l="1"/>
  <c r="F35" i="20"/>
  <c r="L219" i="2"/>
  <c r="B71" i="2"/>
  <c r="B72" i="2" s="1"/>
  <c r="A77" i="41"/>
  <c r="A78" i="41" s="1"/>
  <c r="A79" i="41" s="1"/>
  <c r="A80" i="41" s="1"/>
  <c r="A59" i="11"/>
  <c r="A61" i="11" s="1"/>
  <c r="C59" i="11"/>
  <c r="D106" i="13"/>
  <c r="G105" i="13"/>
  <c r="B80" i="41" l="1"/>
  <c r="B51" i="41"/>
  <c r="A85" i="41"/>
  <c r="B73" i="2"/>
  <c r="B74" i="2" s="1"/>
  <c r="A62" i="11"/>
  <c r="C62" i="11"/>
  <c r="E106" i="13"/>
  <c r="F106" i="13" s="1"/>
  <c r="D107" i="13" l="1"/>
  <c r="E107" i="13" s="1"/>
  <c r="F107" i="13" s="1"/>
  <c r="D108" i="13" s="1"/>
  <c r="G106" i="13"/>
  <c r="B77" i="2"/>
  <c r="B79" i="2" s="1"/>
  <c r="B80" i="2" s="1"/>
  <c r="E77" i="2"/>
  <c r="A86" i="41"/>
  <c r="A63" i="11"/>
  <c r="A64" i="11" s="1"/>
  <c r="C72" i="11"/>
  <c r="C64" i="11" l="1"/>
  <c r="B81" i="2"/>
  <c r="B82" i="2" s="1"/>
  <c r="A87" i="41"/>
  <c r="A88" i="41" s="1"/>
  <c r="A65" i="11"/>
  <c r="A66" i="11" s="1"/>
  <c r="E108" i="13"/>
  <c r="F108" i="13" s="1"/>
  <c r="D109" i="13" s="1"/>
  <c r="G107" i="13"/>
  <c r="E94" i="2" l="1"/>
  <c r="G108" i="13"/>
  <c r="A89" i="41"/>
  <c r="B89" i="41"/>
  <c r="A67" i="11"/>
  <c r="C67" i="11"/>
  <c r="C66" i="11"/>
  <c r="B83" i="2"/>
  <c r="B84" i="2" s="1"/>
  <c r="B88" i="41"/>
  <c r="E109" i="13"/>
  <c r="F109" i="13" s="1"/>
  <c r="D110" i="13" s="1"/>
  <c r="E95" i="2" l="1"/>
  <c r="G109" i="13"/>
  <c r="A91" i="41"/>
  <c r="B85" i="2"/>
  <c r="B86" i="2" s="1"/>
  <c r="C68" i="11"/>
  <c r="A68" i="11"/>
  <c r="E110" i="13"/>
  <c r="F110" i="13" s="1"/>
  <c r="B87" i="2" l="1"/>
  <c r="B88" i="2" s="1"/>
  <c r="A69" i="11"/>
  <c r="C69" i="11"/>
  <c r="A92" i="41"/>
  <c r="E96" i="2"/>
  <c r="D111" i="13"/>
  <c r="G110" i="13"/>
  <c r="E97" i="2" l="1"/>
  <c r="C70" i="11"/>
  <c r="A70" i="11"/>
  <c r="A72" i="11" s="1"/>
  <c r="A73" i="11" s="1"/>
  <c r="A74" i="11" s="1"/>
  <c r="A93" i="41"/>
  <c r="A94" i="41" s="1"/>
  <c r="B91" i="2"/>
  <c r="B93" i="2" s="1"/>
  <c r="B94" i="2" s="1"/>
  <c r="E98" i="2"/>
  <c r="E91" i="2"/>
  <c r="E111" i="13"/>
  <c r="F111" i="13" s="1"/>
  <c r="B94" i="41" l="1"/>
  <c r="D112" i="13"/>
  <c r="E112" i="13" s="1"/>
  <c r="G111" i="13"/>
  <c r="A75" i="11"/>
  <c r="A76" i="11" s="1"/>
  <c r="B95" i="2"/>
  <c r="A95" i="41"/>
  <c r="B95" i="41"/>
  <c r="C76" i="11" l="1"/>
  <c r="F112" i="13"/>
  <c r="D113" i="13" s="1"/>
  <c r="E113" i="13" s="1"/>
  <c r="F113" i="13" s="1"/>
  <c r="D114" i="13" s="1"/>
  <c r="C64" i="20"/>
  <c r="C64" i="13"/>
  <c r="B96" i="2"/>
  <c r="B97" i="2" s="1"/>
  <c r="B98" i="2" s="1"/>
  <c r="A77" i="11"/>
  <c r="A78" i="11" s="1"/>
  <c r="C77" i="11"/>
  <c r="A97" i="41"/>
  <c r="G112" i="13" l="1"/>
  <c r="A79" i="11"/>
  <c r="C78" i="11"/>
  <c r="A98" i="41"/>
  <c r="B100" i="2"/>
  <c r="E100" i="2"/>
  <c r="C79" i="11"/>
  <c r="E114" i="13"/>
  <c r="F114" i="13" s="1"/>
  <c r="G113" i="13"/>
  <c r="B103" i="2" l="1"/>
  <c r="B104" i="2" s="1"/>
  <c r="C48" i="11"/>
  <c r="A80" i="11"/>
  <c r="C80" i="11"/>
  <c r="A99" i="41"/>
  <c r="A100" i="41" s="1"/>
  <c r="D115" i="13"/>
  <c r="G114" i="13"/>
  <c r="A101" i="41" l="1"/>
  <c r="B103" i="41"/>
  <c r="B101" i="41"/>
  <c r="B100" i="41"/>
  <c r="B105" i="2"/>
  <c r="B106" i="2" s="1"/>
  <c r="B107" i="2" s="1"/>
  <c r="B108" i="2" s="1"/>
  <c r="B109" i="2" s="1"/>
  <c r="E115" i="13"/>
  <c r="F115" i="13" s="1"/>
  <c r="E109" i="2" l="1"/>
  <c r="B111" i="2"/>
  <c r="B113" i="2" s="1"/>
  <c r="B115" i="2" s="1"/>
  <c r="B117" i="2" s="1"/>
  <c r="B118" i="2" s="1"/>
  <c r="A103" i="41"/>
  <c r="B104" i="41"/>
  <c r="D116" i="13"/>
  <c r="G115" i="13"/>
  <c r="A104" i="41" l="1"/>
  <c r="E262" i="2"/>
  <c r="B119" i="2"/>
  <c r="B121" i="2" s="1"/>
  <c r="B122" i="2" s="1"/>
  <c r="B123" i="2" s="1"/>
  <c r="B124" i="2" s="1"/>
  <c r="B125" i="2" s="1"/>
  <c r="B126" i="2" s="1"/>
  <c r="B127" i="2" s="1"/>
  <c r="B129" i="2" s="1"/>
  <c r="E116" i="13"/>
  <c r="F116" i="13" s="1"/>
  <c r="D117" i="13" s="1"/>
  <c r="E127" i="2" l="1"/>
  <c r="B131" i="2"/>
  <c r="D315" i="2"/>
  <c r="D131" i="2"/>
  <c r="A105" i="41"/>
  <c r="B105" i="41"/>
  <c r="E117" i="13"/>
  <c r="F117" i="13" s="1"/>
  <c r="G116" i="13"/>
  <c r="C28" i="13" l="1"/>
  <c r="C28" i="20"/>
  <c r="B146" i="2"/>
  <c r="D118" i="13"/>
  <c r="G117" i="13"/>
  <c r="B147" i="2" l="1"/>
  <c r="B148" i="2" s="1"/>
  <c r="B149" i="2" s="1"/>
  <c r="B150" i="2" s="1"/>
  <c r="E118" i="13"/>
  <c r="F118" i="13" s="1"/>
  <c r="B151" i="2" l="1"/>
  <c r="B152" i="2" s="1"/>
  <c r="E151" i="2"/>
  <c r="D119" i="13"/>
  <c r="G118" i="13"/>
  <c r="E44" i="2" l="1"/>
  <c r="B153" i="2"/>
  <c r="B154" i="2" s="1"/>
  <c r="D310" i="2"/>
  <c r="E119" i="13"/>
  <c r="F119" i="13" s="1"/>
  <c r="E155" i="2" l="1"/>
  <c r="D312" i="2"/>
  <c r="B155" i="2"/>
  <c r="D120" i="13"/>
  <c r="G119" i="13"/>
  <c r="B157" i="2" l="1"/>
  <c r="D309" i="2"/>
  <c r="E118" i="2"/>
  <c r="E120" i="13"/>
  <c r="F120" i="13" s="1"/>
  <c r="D121" i="13" s="1"/>
  <c r="B158" i="2" l="1"/>
  <c r="G120" i="13"/>
  <c r="E121" i="13"/>
  <c r="F121" i="13" s="1"/>
  <c r="D122" i="13" s="1"/>
  <c r="E167" i="2" l="1"/>
  <c r="B159" i="2"/>
  <c r="B160" i="2" s="1"/>
  <c r="B161" i="2" s="1"/>
  <c r="B162" i="2" s="1"/>
  <c r="B163" i="2" s="1"/>
  <c r="B164" i="2" s="1"/>
  <c r="E122" i="13"/>
  <c r="F122" i="13" s="1"/>
  <c r="D123" i="13" s="1"/>
  <c r="G121" i="13"/>
  <c r="B165" i="2" l="1"/>
  <c r="E165" i="2"/>
  <c r="E123" i="13"/>
  <c r="F123" i="13" s="1"/>
  <c r="G122" i="13"/>
  <c r="D124" i="13" l="1"/>
  <c r="E124" i="13" s="1"/>
  <c r="F124" i="13" s="1"/>
  <c r="D125" i="13" s="1"/>
  <c r="G123" i="13"/>
  <c r="B167" i="2"/>
  <c r="B168" i="2" s="1"/>
  <c r="B169" i="2" s="1"/>
  <c r="B170" i="2" s="1"/>
  <c r="B171" i="2" s="1"/>
  <c r="B172" i="2" s="1"/>
  <c r="E172" i="2" l="1"/>
  <c r="D313" i="2"/>
  <c r="B174" i="2"/>
  <c r="E174" i="2"/>
  <c r="G124" i="13"/>
  <c r="E125" i="13"/>
  <c r="F125" i="13" s="1"/>
  <c r="B175" i="2" l="1"/>
  <c r="E176" i="2" s="1"/>
  <c r="D126" i="13"/>
  <c r="G125" i="13"/>
  <c r="C48" i="20" l="1"/>
  <c r="C48" i="13"/>
  <c r="E30" i="2"/>
  <c r="D328" i="2"/>
  <c r="B176" i="2"/>
  <c r="D326" i="2"/>
  <c r="D323" i="2"/>
  <c r="E126" i="13"/>
  <c r="F126" i="13" s="1"/>
  <c r="D127" i="13" s="1"/>
  <c r="B178" i="2" l="1"/>
  <c r="B179" i="2" s="1"/>
  <c r="E127" i="13"/>
  <c r="F127" i="13" s="1"/>
  <c r="D128" i="13" s="1"/>
  <c r="G126" i="13"/>
  <c r="B180" i="2" l="1"/>
  <c r="B181" i="2" s="1"/>
  <c r="E128" i="13"/>
  <c r="F128" i="13" s="1"/>
  <c r="D129" i="13" s="1"/>
  <c r="G127" i="13"/>
  <c r="C59" i="20" l="1"/>
  <c r="C59" i="13"/>
  <c r="C76" i="13"/>
  <c r="C76" i="20"/>
  <c r="B182" i="2"/>
  <c r="B183" i="2" s="1"/>
  <c r="B185" i="2" s="1"/>
  <c r="E34" i="2"/>
  <c r="G128" i="13"/>
  <c r="E129" i="13"/>
  <c r="F129" i="13" s="1"/>
  <c r="E185" i="2" l="1"/>
  <c r="B187" i="2"/>
  <c r="B188" i="2" s="1"/>
  <c r="B189" i="2" s="1"/>
  <c r="D130" i="13"/>
  <c r="G129" i="13"/>
  <c r="B190" i="2" l="1"/>
  <c r="B191" i="2" s="1"/>
  <c r="B192" i="2" s="1"/>
  <c r="B193" i="2" s="1"/>
  <c r="B194" i="2" s="1"/>
  <c r="E130" i="13"/>
  <c r="F130" i="13" s="1"/>
  <c r="D131" i="13" s="1"/>
  <c r="B196" i="2" l="1"/>
  <c r="B197" i="2" s="1"/>
  <c r="G130" i="13"/>
  <c r="E194" i="2"/>
  <c r="E131" i="13"/>
  <c r="F131" i="13" s="1"/>
  <c r="D132" i="13" s="1"/>
  <c r="G131" i="13" l="1"/>
  <c r="B198" i="2"/>
  <c r="D201" i="2"/>
  <c r="E132" i="13"/>
  <c r="F132" i="13" s="1"/>
  <c r="C35" i="20" l="1"/>
  <c r="C35" i="13"/>
  <c r="B199" i="2"/>
  <c r="B200" i="2" s="1"/>
  <c r="B201" i="2" s="1"/>
  <c r="D133" i="13"/>
  <c r="G132" i="13"/>
  <c r="B202" i="2" l="1"/>
  <c r="E133" i="13"/>
  <c r="F133" i="13" s="1"/>
  <c r="D134" i="13" s="1"/>
  <c r="D354" i="2" l="1"/>
  <c r="B203" i="2"/>
  <c r="E207" i="2"/>
  <c r="E134" i="13"/>
  <c r="F134" i="13" s="1"/>
  <c r="G133" i="13"/>
  <c r="B204" i="2" l="1"/>
  <c r="E208" i="2"/>
  <c r="D135" i="13"/>
  <c r="G134" i="13"/>
  <c r="B206" i="2" l="1"/>
  <c r="E209" i="2"/>
  <c r="E135" i="13"/>
  <c r="F135" i="13" s="1"/>
  <c r="D136" i="13" s="1"/>
  <c r="G135" i="13" l="1"/>
  <c r="B207" i="2"/>
  <c r="B208" i="2" s="1"/>
  <c r="B209" i="2" s="1"/>
  <c r="B211" i="2" s="1"/>
  <c r="E136" i="13"/>
  <c r="F136" i="13" s="1"/>
  <c r="E211" i="2" l="1"/>
  <c r="D137" i="13"/>
  <c r="E137" i="13" s="1"/>
  <c r="F137" i="13" s="1"/>
  <c r="G136" i="13"/>
  <c r="C50" i="20"/>
  <c r="C50" i="13"/>
  <c r="B213" i="2"/>
  <c r="C49" i="13" l="1"/>
  <c r="C49" i="20"/>
  <c r="B215" i="2"/>
  <c r="E206" i="2"/>
  <c r="E37" i="2"/>
  <c r="D138" i="13"/>
  <c r="G137" i="13"/>
  <c r="D317" i="2" l="1"/>
  <c r="B217" i="2"/>
  <c r="E138" i="13"/>
  <c r="F138" i="13" s="1"/>
  <c r="B219" i="2" l="1"/>
  <c r="B221" i="2" s="1"/>
  <c r="D219" i="2"/>
  <c r="D139" i="13"/>
  <c r="G138" i="13"/>
  <c r="E13" i="2" l="1"/>
  <c r="B234" i="2"/>
  <c r="D222" i="2"/>
  <c r="E139" i="13"/>
  <c r="F139" i="13" s="1"/>
  <c r="B235" i="2" l="1"/>
  <c r="B236" i="2" s="1"/>
  <c r="B237" i="2" s="1"/>
  <c r="D140" i="13"/>
  <c r="G139" i="13"/>
  <c r="B239" i="2" l="1"/>
  <c r="B248" i="2" s="1"/>
  <c r="B249" i="2" s="1"/>
  <c r="E239" i="2"/>
  <c r="E68" i="2"/>
  <c r="E237" i="2"/>
  <c r="E140" i="13"/>
  <c r="F140" i="13" s="1"/>
  <c r="D141" i="13" s="1"/>
  <c r="B250" i="2" l="1"/>
  <c r="B251" i="2" s="1"/>
  <c r="B253" i="2" s="1"/>
  <c r="B254" i="2" s="1"/>
  <c r="B255" i="2" s="1"/>
  <c r="B257" i="2" s="1"/>
  <c r="B260" i="2" s="1"/>
  <c r="B261" i="2" s="1"/>
  <c r="E141" i="13"/>
  <c r="F141" i="13" s="1"/>
  <c r="G140" i="13"/>
  <c r="D142" i="13" l="1"/>
  <c r="E142" i="13" s="1"/>
  <c r="F142" i="13" s="1"/>
  <c r="G141" i="13"/>
  <c r="E255" i="2"/>
  <c r="B262" i="2"/>
  <c r="B263" i="2" s="1"/>
  <c r="B264" i="2" s="1"/>
  <c r="B265" i="2" l="1"/>
  <c r="D143" i="13"/>
  <c r="G142" i="13"/>
  <c r="B266" i="2" l="1"/>
  <c r="D272" i="2"/>
  <c r="E143" i="13"/>
  <c r="F143" i="13" s="1"/>
  <c r="D144" i="13" s="1"/>
  <c r="B267" i="2" l="1"/>
  <c r="B268" i="2" s="1"/>
  <c r="E144" i="13"/>
  <c r="F144" i="13" s="1"/>
  <c r="G143" i="13"/>
  <c r="E268" i="2" l="1"/>
  <c r="B270" i="2"/>
  <c r="B271" i="2" s="1"/>
  <c r="D273" i="2"/>
  <c r="D145" i="13"/>
  <c r="G144" i="13"/>
  <c r="D375" i="2" l="1"/>
  <c r="B272" i="2"/>
  <c r="B273" i="2" s="1"/>
  <c r="C19" i="13" s="1"/>
  <c r="E145" i="13"/>
  <c r="F145" i="13" s="1"/>
  <c r="D146" i="13" s="1"/>
  <c r="D366" i="2" l="1"/>
  <c r="D274" i="2"/>
  <c r="C16" i="13"/>
  <c r="C16" i="20"/>
  <c r="B274" i="2"/>
  <c r="C19" i="20"/>
  <c r="G145" i="13"/>
  <c r="E146" i="13"/>
  <c r="F146" i="13" s="1"/>
  <c r="B276" i="2" l="1"/>
  <c r="B77" i="41"/>
  <c r="E213" i="2"/>
  <c r="D199" i="2"/>
  <c r="D147" i="13"/>
  <c r="G146" i="13"/>
  <c r="E147" i="13" l="1"/>
  <c r="F147" i="13" s="1"/>
  <c r="D148" i="13" l="1"/>
  <c r="G147" i="13"/>
  <c r="E148" i="13" l="1"/>
  <c r="F148" i="13" s="1"/>
  <c r="D149" i="13" l="1"/>
  <c r="G148" i="13"/>
  <c r="E149" i="13" l="1"/>
  <c r="F149" i="13" s="1"/>
  <c r="D150" i="13" s="1"/>
  <c r="G149" i="13" l="1"/>
  <c r="E150" i="13"/>
  <c r="F150" i="13" s="1"/>
  <c r="D151" i="13" l="1"/>
  <c r="G150" i="13"/>
  <c r="E151" i="13" l="1"/>
  <c r="F151" i="13" s="1"/>
  <c r="D152" i="13" l="1"/>
  <c r="G151" i="13"/>
  <c r="E152" i="13" l="1"/>
  <c r="F152" i="13" s="1"/>
  <c r="D153" i="13" l="1"/>
  <c r="G152" i="13"/>
  <c r="E153" i="13" l="1"/>
  <c r="F153" i="13" s="1"/>
  <c r="D154" i="13" s="1"/>
  <c r="E154" i="13" l="1"/>
  <c r="F154" i="13" s="1"/>
  <c r="G153" i="13"/>
  <c r="D155" i="13" l="1"/>
  <c r="G154" i="13"/>
  <c r="E155" i="13" l="1"/>
  <c r="F155" i="13" s="1"/>
  <c r="D156" i="13" l="1"/>
  <c r="G155" i="13"/>
  <c r="E156" i="13" l="1"/>
  <c r="F156" i="13" s="1"/>
  <c r="D157" i="13" s="1"/>
  <c r="G156" i="13" l="1"/>
  <c r="E157" i="13"/>
  <c r="F157" i="13" s="1"/>
  <c r="D158" i="13" s="1"/>
  <c r="G157" i="13" l="1"/>
  <c r="E158" i="13"/>
  <c r="F158" i="13" s="1"/>
  <c r="D159" i="13" s="1"/>
  <c r="E159" i="13" l="1"/>
  <c r="F159" i="13" s="1"/>
  <c r="D160" i="13" s="1"/>
  <c r="G158" i="13"/>
  <c r="G159" i="13" l="1"/>
  <c r="E160" i="13"/>
  <c r="F160" i="13" s="1"/>
  <c r="D161" i="13" l="1"/>
  <c r="G160" i="13"/>
  <c r="E161" i="13" l="1"/>
  <c r="E162" i="13" s="1"/>
  <c r="F161" i="13" l="1"/>
  <c r="G161" i="13" s="1"/>
  <c r="J13" i="8" l="1"/>
  <c r="I27" i="8" l="1"/>
  <c r="I31" i="8" s="1"/>
  <c r="J17" i="8" l="1"/>
  <c r="J15" i="8"/>
  <c r="J19" i="8"/>
  <c r="J21" i="8" l="1"/>
  <c r="J27" i="8" s="1"/>
  <c r="J31" i="8" s="1"/>
  <c r="K27" i="8"/>
  <c r="K31" i="8" s="1"/>
  <c r="G15" i="2" s="1"/>
  <c r="L15" i="2" s="1"/>
  <c r="E44" i="30" l="1"/>
  <c r="E22" i="11" s="1"/>
  <c r="G22" i="11" s="1"/>
  <c r="E100" i="30" l="1"/>
  <c r="E38" i="11" s="1"/>
  <c r="K38" i="11" s="1"/>
  <c r="E103" i="30"/>
  <c r="E39" i="11" s="1"/>
  <c r="M39" i="11" s="1"/>
  <c r="E75" i="30"/>
  <c r="E34" i="11" s="1"/>
  <c r="M34" i="11" s="1"/>
  <c r="E83" i="30"/>
  <c r="E36" i="11" s="1"/>
  <c r="K36" i="11" s="1"/>
  <c r="E65" i="30"/>
  <c r="E28" i="11" s="1"/>
  <c r="I28" i="11" s="1"/>
  <c r="E107" i="30"/>
  <c r="E40" i="11" s="1"/>
  <c r="M40" i="11" s="1"/>
  <c r="E110" i="30"/>
  <c r="E41" i="11" s="1"/>
  <c r="M41" i="11" s="1"/>
  <c r="E61" i="30"/>
  <c r="E26" i="11" s="1"/>
  <c r="I26" i="11" s="1"/>
  <c r="E93" i="30"/>
  <c r="E37" i="11" s="1"/>
  <c r="K37" i="11" s="1"/>
  <c r="E79" i="30"/>
  <c r="E35" i="11" s="1"/>
  <c r="K35" i="11" s="1"/>
  <c r="E63" i="30"/>
  <c r="E27" i="11" s="1"/>
  <c r="I27" i="11" s="1"/>
  <c r="K43" i="11" l="1"/>
  <c r="G193" i="2" s="1"/>
  <c r="E27" i="30"/>
  <c r="E33" i="30"/>
  <c r="E21" i="11" s="1"/>
  <c r="G21" i="11" s="1"/>
  <c r="I43" i="11"/>
  <c r="G189" i="2" s="1"/>
  <c r="E15" i="30"/>
  <c r="E17" i="11" s="1"/>
  <c r="F113" i="30"/>
  <c r="E50" i="30"/>
  <c r="E23" i="11" s="1"/>
  <c r="G23" i="11" s="1"/>
  <c r="E25" i="30" l="1"/>
  <c r="E113" i="30" s="1"/>
  <c r="M17" i="11"/>
  <c r="M43" i="11" s="1"/>
  <c r="G192" i="2" s="1"/>
  <c r="L192" i="2" s="1"/>
  <c r="E20" i="11"/>
  <c r="G20" i="11" s="1"/>
  <c r="G43" i="11" s="1"/>
  <c r="G191" i="2" s="1"/>
  <c r="G194" i="2" l="1"/>
  <c r="E43" i="11"/>
  <c r="G26" i="48" l="1"/>
  <c r="G27" i="48" l="1"/>
  <c r="G24" i="48"/>
  <c r="C28" i="48"/>
  <c r="D26" i="48" s="1"/>
  <c r="E26" i="48" s="1"/>
  <c r="H26" i="48" s="1"/>
  <c r="I26" i="48" s="1"/>
  <c r="G25" i="48"/>
  <c r="D22" i="48" l="1"/>
  <c r="E22" i="48" s="1"/>
  <c r="D23" i="48"/>
  <c r="E23" i="48" s="1"/>
  <c r="D24" i="48"/>
  <c r="E24" i="48" s="1"/>
  <c r="H24" i="48" s="1"/>
  <c r="I24" i="48" s="1"/>
  <c r="D27" i="48"/>
  <c r="E27" i="48" s="1"/>
  <c r="H27" i="48" s="1"/>
  <c r="I27" i="48" s="1"/>
  <c r="D25" i="48"/>
  <c r="E25" i="48" s="1"/>
  <c r="H25" i="48" s="1"/>
  <c r="I25" i="48" s="1"/>
  <c r="G171" i="2" l="1"/>
  <c r="G22" i="48" l="1"/>
  <c r="H22" i="48"/>
  <c r="I22" i="48" l="1"/>
  <c r="H10" i="49" l="1"/>
  <c r="I54" i="49" l="1"/>
  <c r="D21" i="49"/>
  <c r="H10" i="32"/>
  <c r="I54" i="32" l="1"/>
  <c r="D21" i="32"/>
  <c r="D22" i="49"/>
  <c r="D23" i="49" l="1"/>
  <c r="D22" i="32"/>
  <c r="D23" i="32" l="1"/>
  <c r="D24" i="49"/>
  <c r="D25" i="49" l="1"/>
  <c r="D24" i="32"/>
  <c r="D25" i="32" l="1"/>
  <c r="D26" i="49"/>
  <c r="D27" i="49" l="1"/>
  <c r="D26" i="32"/>
  <c r="D27" i="32" l="1"/>
  <c r="D28" i="49"/>
  <c r="D29" i="49" l="1"/>
  <c r="D28" i="32"/>
  <c r="D29" i="32" l="1"/>
  <c r="D30" i="49"/>
  <c r="D31" i="49" l="1"/>
  <c r="D30" i="32"/>
  <c r="D31" i="32" l="1"/>
  <c r="D32" i="49"/>
  <c r="D32" i="32" l="1"/>
  <c r="J88" i="6" l="1"/>
  <c r="K88" i="6" s="1"/>
  <c r="E88" i="6" s="1"/>
  <c r="J81" i="6"/>
  <c r="J56" i="6"/>
  <c r="K56" i="6" s="1"/>
  <c r="E56" i="6" s="1"/>
  <c r="K81" i="6" l="1"/>
  <c r="E81" i="6" s="1"/>
  <c r="J98" i="6"/>
  <c r="J32" i="6" s="1"/>
  <c r="E58" i="6"/>
  <c r="E82" i="6"/>
  <c r="E90" i="6"/>
  <c r="J49" i="6" l="1"/>
  <c r="K49" i="6" l="1"/>
  <c r="E49" i="6" s="1"/>
  <c r="J65" i="6"/>
  <c r="J31" i="6" s="1"/>
  <c r="J33" i="6" s="1"/>
  <c r="G123" i="2" s="1"/>
  <c r="E50" i="6" l="1"/>
  <c r="F71" i="35" l="1"/>
  <c r="L111" i="2" s="1"/>
  <c r="F69" i="35"/>
  <c r="G111" i="2" s="1"/>
  <c r="D70" i="9" l="1"/>
  <c r="G164" i="2" s="1"/>
  <c r="F70" i="9" l="1"/>
  <c r="G170" i="2" s="1"/>
  <c r="L170" i="2" s="1"/>
  <c r="E70" i="9" l="1"/>
  <c r="E83" i="6" l="1"/>
  <c r="E76" i="6" l="1"/>
  <c r="E44" i="6"/>
  <c r="E89" i="6"/>
  <c r="E57" i="6"/>
  <c r="E78" i="6"/>
  <c r="E46" i="6"/>
  <c r="E75" i="6"/>
  <c r="E43" i="6"/>
  <c r="I86" i="6"/>
  <c r="K86" i="6" s="1"/>
  <c r="E86" i="6" s="1"/>
  <c r="I54" i="6"/>
  <c r="K54" i="6" s="1"/>
  <c r="E54" i="6" s="1"/>
  <c r="E91" i="6"/>
  <c r="E59" i="6"/>
  <c r="I85" i="6"/>
  <c r="K85" i="6" s="1"/>
  <c r="E85" i="6" s="1"/>
  <c r="I53" i="6"/>
  <c r="K53" i="6" s="1"/>
  <c r="E53" i="6" s="1"/>
  <c r="E55" i="6"/>
  <c r="E87" i="6"/>
  <c r="E74" i="6"/>
  <c r="E42" i="6"/>
  <c r="E48" i="6"/>
  <c r="E80" i="6"/>
  <c r="E92" i="6"/>
  <c r="E60" i="6"/>
  <c r="E77" i="6"/>
  <c r="E45" i="6"/>
  <c r="E52" i="6"/>
  <c r="E84" i="6"/>
  <c r="E79" i="6"/>
  <c r="E47" i="6"/>
  <c r="E51" i="6"/>
  <c r="I41" i="6" l="1"/>
  <c r="D65" i="6"/>
  <c r="D31" i="6" s="1"/>
  <c r="I73" i="6"/>
  <c r="D98" i="6"/>
  <c r="D32" i="6" s="1"/>
  <c r="D33" i="6" l="1"/>
  <c r="I98" i="6"/>
  <c r="I32" i="6" s="1"/>
  <c r="K73" i="6"/>
  <c r="K41" i="6"/>
  <c r="I65" i="6"/>
  <c r="I31" i="6" s="1"/>
  <c r="K65" i="6" l="1"/>
  <c r="K31" i="6" s="1"/>
  <c r="E41" i="6"/>
  <c r="E65" i="6" s="1"/>
  <c r="E31" i="6" s="1"/>
  <c r="K98" i="6"/>
  <c r="K32" i="6" s="1"/>
  <c r="E73" i="6"/>
  <c r="E98" i="6" s="1"/>
  <c r="E32" i="6" s="1"/>
  <c r="I33" i="6"/>
  <c r="G124" i="2" s="1"/>
  <c r="E33" i="6" l="1"/>
  <c r="G126" i="2" s="1"/>
  <c r="L126" i="2" s="1"/>
  <c r="K33" i="6"/>
  <c r="H10" i="47" l="1"/>
  <c r="D21" i="47" l="1"/>
  <c r="D22" i="47" s="1"/>
  <c r="D23" i="47" s="1"/>
  <c r="I54" i="47"/>
  <c r="D24" i="47" l="1"/>
  <c r="D25" i="47" l="1"/>
  <c r="D26" i="47" l="1"/>
  <c r="D27" i="47" l="1"/>
  <c r="D28" i="47" l="1"/>
  <c r="D29" i="47" l="1"/>
  <c r="D30" i="47" l="1"/>
  <c r="D31" i="47" l="1"/>
  <c r="D32" i="47" l="1"/>
  <c r="G23" i="48" l="1"/>
  <c r="H23" i="48" l="1"/>
  <c r="H28" i="48" s="1"/>
  <c r="G28" i="48"/>
  <c r="I23" i="48" l="1"/>
  <c r="I28" i="48" s="1"/>
  <c r="D21" i="9" l="1"/>
  <c r="G154" i="2" s="1"/>
  <c r="F39" i="32" l="1"/>
  <c r="F21" i="32"/>
  <c r="F21" i="47"/>
  <c r="F39" i="47"/>
  <c r="F39" i="49"/>
  <c r="F21" i="49"/>
  <c r="F22" i="47" l="1"/>
  <c r="H21" i="47"/>
  <c r="F22" i="32"/>
  <c r="H21" i="32"/>
  <c r="F22" i="49"/>
  <c r="H21" i="49"/>
  <c r="F40" i="49"/>
  <c r="F40" i="47"/>
  <c r="F40" i="32"/>
  <c r="F41" i="32" l="1"/>
  <c r="F41" i="49"/>
  <c r="K21" i="32"/>
  <c r="F23" i="32"/>
  <c r="H22" i="32"/>
  <c r="K22" i="32" s="1"/>
  <c r="F41" i="47"/>
  <c r="F23" i="49"/>
  <c r="H22" i="49"/>
  <c r="K22" i="49" s="1"/>
  <c r="K21" i="47"/>
  <c r="K21" i="49"/>
  <c r="F23" i="47"/>
  <c r="H22" i="47"/>
  <c r="K22" i="47" s="1"/>
  <c r="F42" i="47" l="1"/>
  <c r="F24" i="32"/>
  <c r="H23" i="32"/>
  <c r="F24" i="47"/>
  <c r="H23" i="47"/>
  <c r="F42" i="49"/>
  <c r="F24" i="49"/>
  <c r="H23" i="49"/>
  <c r="K23" i="49" s="1"/>
  <c r="F42" i="32"/>
  <c r="F25" i="47" l="1"/>
  <c r="H24" i="47"/>
  <c r="K24" i="47" s="1"/>
  <c r="K23" i="32"/>
  <c r="F43" i="49"/>
  <c r="F25" i="32"/>
  <c r="H24" i="32"/>
  <c r="K24" i="32" s="1"/>
  <c r="K23" i="47"/>
  <c r="F43" i="32"/>
  <c r="F25" i="49"/>
  <c r="H24" i="49"/>
  <c r="K24" i="49" s="1"/>
  <c r="F43" i="47"/>
  <c r="F26" i="32" l="1"/>
  <c r="H25" i="32"/>
  <c r="F44" i="32"/>
  <c r="F44" i="49"/>
  <c r="F44" i="47"/>
  <c r="F26" i="47"/>
  <c r="H25" i="47"/>
  <c r="F26" i="49"/>
  <c r="H25" i="49"/>
  <c r="K25" i="49" s="1"/>
  <c r="F27" i="47" l="1"/>
  <c r="H26" i="47"/>
  <c r="K26" i="47" s="1"/>
  <c r="F27" i="49"/>
  <c r="H26" i="49"/>
  <c r="K25" i="47"/>
  <c r="F45" i="47"/>
  <c r="F45" i="49"/>
  <c r="F45" i="32"/>
  <c r="K25" i="32"/>
  <c r="F27" i="32"/>
  <c r="H26" i="32"/>
  <c r="K26" i="32" s="1"/>
  <c r="K26" i="49" l="1"/>
  <c r="F46" i="32"/>
  <c r="F28" i="49"/>
  <c r="H27" i="49"/>
  <c r="K27" i="49" s="1"/>
  <c r="F46" i="49"/>
  <c r="F46" i="47"/>
  <c r="F28" i="32"/>
  <c r="H27" i="32"/>
  <c r="F28" i="47"/>
  <c r="H27" i="47"/>
  <c r="K27" i="47" l="1"/>
  <c r="F47" i="47"/>
  <c r="K27" i="32"/>
  <c r="F29" i="32"/>
  <c r="H28" i="32"/>
  <c r="K28" i="32" s="1"/>
  <c r="F47" i="49"/>
  <c r="F29" i="47"/>
  <c r="H28" i="47"/>
  <c r="K28" i="47" s="1"/>
  <c r="F29" i="49"/>
  <c r="H28" i="49"/>
  <c r="K28" i="49" s="1"/>
  <c r="F47" i="32"/>
  <c r="F30" i="49" l="1"/>
  <c r="H29" i="49"/>
  <c r="K29" i="49" s="1"/>
  <c r="F30" i="47"/>
  <c r="H29" i="47"/>
  <c r="K29" i="47" s="1"/>
  <c r="F48" i="49"/>
  <c r="F30" i="32"/>
  <c r="H29" i="32"/>
  <c r="K29" i="32" s="1"/>
  <c r="F48" i="47"/>
  <c r="F48" i="32"/>
  <c r="F49" i="32" l="1"/>
  <c r="F31" i="32"/>
  <c r="H30" i="32"/>
  <c r="K30" i="32" s="1"/>
  <c r="F49" i="49"/>
  <c r="F49" i="47"/>
  <c r="F31" i="47"/>
  <c r="H30" i="47"/>
  <c r="K30" i="47" s="1"/>
  <c r="F31" i="49"/>
  <c r="H30" i="49"/>
  <c r="K30" i="49" s="1"/>
  <c r="F32" i="47" l="1"/>
  <c r="H31" i="47"/>
  <c r="K31" i="47" s="1"/>
  <c r="F50" i="47"/>
  <c r="F32" i="32"/>
  <c r="H31" i="32"/>
  <c r="K31" i="32" s="1"/>
  <c r="F32" i="49"/>
  <c r="H31" i="49"/>
  <c r="K31" i="49" s="1"/>
  <c r="F50" i="49"/>
  <c r="F50" i="32"/>
  <c r="F36" i="49" l="1"/>
  <c r="H32" i="49"/>
  <c r="F36" i="32"/>
  <c r="H32" i="32"/>
  <c r="F36" i="47"/>
  <c r="H32" i="47"/>
  <c r="K32" i="47" l="1"/>
  <c r="K33" i="47" s="1"/>
  <c r="D36" i="47" s="1"/>
  <c r="H36" i="47" s="1"/>
  <c r="K36" i="47" s="1"/>
  <c r="H33" i="47"/>
  <c r="K32" i="49"/>
  <c r="K33" i="49" s="1"/>
  <c r="D36" i="49" s="1"/>
  <c r="H36" i="49" s="1"/>
  <c r="K36" i="49" s="1"/>
  <c r="H33" i="49"/>
  <c r="K32" i="32"/>
  <c r="K33" i="32" s="1"/>
  <c r="D36" i="32" s="1"/>
  <c r="H36" i="32" s="1"/>
  <c r="K36" i="32" s="1"/>
  <c r="H33" i="32"/>
  <c r="D39" i="32" l="1"/>
  <c r="I39" i="32"/>
  <c r="D39" i="49"/>
  <c r="I39" i="49"/>
  <c r="I40" i="49" s="1"/>
  <c r="I41" i="49" s="1"/>
  <c r="I42" i="49" s="1"/>
  <c r="I43" i="49" s="1"/>
  <c r="I44" i="49" s="1"/>
  <c r="I45" i="49" s="1"/>
  <c r="I46" i="49" s="1"/>
  <c r="I47" i="49" s="1"/>
  <c r="I48" i="49" s="1"/>
  <c r="I49" i="49" s="1"/>
  <c r="I50" i="49" s="1"/>
  <c r="I53" i="49" s="1"/>
  <c r="D39" i="47"/>
  <c r="I39" i="47"/>
  <c r="I55" i="49" l="1"/>
  <c r="K39" i="47"/>
  <c r="D40" i="47" s="1"/>
  <c r="H39" i="47"/>
  <c r="K39" i="49"/>
  <c r="D40" i="49" s="1"/>
  <c r="H39" i="49"/>
  <c r="I40" i="47"/>
  <c r="I41" i="47" s="1"/>
  <c r="I42" i="47" s="1"/>
  <c r="I43" i="47" s="1"/>
  <c r="I44" i="47" s="1"/>
  <c r="I45" i="47" s="1"/>
  <c r="I46" i="47" s="1"/>
  <c r="I47" i="47" s="1"/>
  <c r="I48" i="47" s="1"/>
  <c r="I49" i="47" s="1"/>
  <c r="I50" i="47" s="1"/>
  <c r="I40" i="32"/>
  <c r="I41" i="32" s="1"/>
  <c r="I42" i="32" s="1"/>
  <c r="I43" i="32" s="1"/>
  <c r="I44" i="32" s="1"/>
  <c r="I45" i="32" s="1"/>
  <c r="I46" i="32" s="1"/>
  <c r="I47" i="32" s="1"/>
  <c r="I48" i="32" s="1"/>
  <c r="I49" i="32" s="1"/>
  <c r="I50" i="32" s="1"/>
  <c r="K39" i="32"/>
  <c r="D40" i="32" s="1"/>
  <c r="H39" i="32"/>
  <c r="I53" i="47" l="1"/>
  <c r="K40" i="32"/>
  <c r="D41" i="32" s="1"/>
  <c r="H40" i="32"/>
  <c r="I53" i="32"/>
  <c r="K40" i="49"/>
  <c r="D41" i="49" s="1"/>
  <c r="H40" i="49"/>
  <c r="K40" i="47"/>
  <c r="D41" i="47" s="1"/>
  <c r="H40" i="47"/>
  <c r="I55" i="47" l="1"/>
  <c r="I55" i="32"/>
  <c r="K41" i="47"/>
  <c r="D42" i="47" s="1"/>
  <c r="H41" i="47"/>
  <c r="K41" i="49"/>
  <c r="D42" i="49" s="1"/>
  <c r="H41" i="49"/>
  <c r="K41" i="32"/>
  <c r="D42" i="32" s="1"/>
  <c r="H41" i="32"/>
  <c r="K42" i="32" l="1"/>
  <c r="D43" i="32" s="1"/>
  <c r="H42" i="32"/>
  <c r="K42" i="49"/>
  <c r="D43" i="49" s="1"/>
  <c r="H42" i="49"/>
  <c r="K42" i="47"/>
  <c r="D43" i="47" s="1"/>
  <c r="H42" i="47"/>
  <c r="K43" i="47" l="1"/>
  <c r="D44" i="47" s="1"/>
  <c r="H43" i="47"/>
  <c r="K43" i="49"/>
  <c r="D44" i="49" s="1"/>
  <c r="H43" i="49"/>
  <c r="K43" i="32"/>
  <c r="D44" i="32" s="1"/>
  <c r="H43" i="32"/>
  <c r="K44" i="32" l="1"/>
  <c r="D45" i="32" s="1"/>
  <c r="H44" i="32"/>
  <c r="K44" i="49"/>
  <c r="D45" i="49" s="1"/>
  <c r="H44" i="49"/>
  <c r="K44" i="47"/>
  <c r="D45" i="47" s="1"/>
  <c r="H44" i="47"/>
  <c r="K45" i="47" l="1"/>
  <c r="D46" i="47" s="1"/>
  <c r="H45" i="47"/>
  <c r="K45" i="49"/>
  <c r="D46" i="49" s="1"/>
  <c r="H45" i="49"/>
  <c r="K45" i="32"/>
  <c r="D46" i="32" s="1"/>
  <c r="H45" i="32"/>
  <c r="K46" i="32" l="1"/>
  <c r="D47" i="32" s="1"/>
  <c r="H46" i="32"/>
  <c r="K46" i="49"/>
  <c r="D47" i="49" s="1"/>
  <c r="H46" i="49"/>
  <c r="K46" i="47"/>
  <c r="D47" i="47" s="1"/>
  <c r="H46" i="47"/>
  <c r="K47" i="47" l="1"/>
  <c r="D48" i="47" s="1"/>
  <c r="H47" i="47"/>
  <c r="K47" i="49"/>
  <c r="D48" i="49" s="1"/>
  <c r="H47" i="49"/>
  <c r="K47" i="32"/>
  <c r="D48" i="32" s="1"/>
  <c r="H47" i="32"/>
  <c r="K48" i="32" l="1"/>
  <c r="D49" i="32" s="1"/>
  <c r="H48" i="32"/>
  <c r="K48" i="49"/>
  <c r="D49" i="49" s="1"/>
  <c r="H48" i="49"/>
  <c r="K48" i="47"/>
  <c r="D49" i="47" s="1"/>
  <c r="H48" i="47"/>
  <c r="K49" i="47" l="1"/>
  <c r="D50" i="47" s="1"/>
  <c r="H49" i="47"/>
  <c r="K49" i="49"/>
  <c r="D50" i="49" s="1"/>
  <c r="H49" i="49"/>
  <c r="K49" i="32"/>
  <c r="D50" i="32" s="1"/>
  <c r="H49" i="32"/>
  <c r="K50" i="49" l="1"/>
  <c r="H50" i="49"/>
  <c r="H51" i="49" s="1"/>
  <c r="K50" i="32"/>
  <c r="H50" i="32"/>
  <c r="H51" i="32" s="1"/>
  <c r="K50" i="47"/>
  <c r="H50" i="47"/>
  <c r="H51" i="47" s="1"/>
  <c r="D42" i="35" l="1"/>
  <c r="G81" i="2" s="1"/>
  <c r="L81" i="2" s="1"/>
  <c r="D23" i="35"/>
  <c r="G67" i="2" s="1"/>
  <c r="L67" i="2" s="1"/>
  <c r="K42" i="35"/>
  <c r="G88" i="2" s="1"/>
  <c r="K23" i="35"/>
  <c r="G74" i="2" s="1"/>
  <c r="H42" i="35"/>
  <c r="G85" i="2" s="1"/>
  <c r="L85" i="2" s="1"/>
  <c r="G23" i="35"/>
  <c r="G70" i="2" s="1"/>
  <c r="H23" i="35"/>
  <c r="G71" i="2" s="1"/>
  <c r="L71" i="2" s="1"/>
  <c r="G42" i="35" l="1"/>
  <c r="G84" i="2" s="1"/>
  <c r="L84" i="2" s="1"/>
  <c r="I42" i="35"/>
  <c r="G86" i="2" s="1"/>
  <c r="I23" i="35"/>
  <c r="G72" i="2" s="1"/>
  <c r="J42" i="35"/>
  <c r="G87" i="2" s="1"/>
  <c r="J23" i="35"/>
  <c r="G73" i="2" s="1"/>
  <c r="D62" i="35"/>
  <c r="E42" i="35"/>
  <c r="C62" i="35"/>
  <c r="L236" i="2" s="1"/>
  <c r="E23" i="35"/>
  <c r="G68" i="2" s="1"/>
  <c r="G98" i="2"/>
  <c r="C23" i="35"/>
  <c r="G66" i="2" s="1"/>
  <c r="L66" i="2" s="1"/>
  <c r="L70" i="2"/>
  <c r="C42" i="35"/>
  <c r="G80" i="2" s="1"/>
  <c r="L80" i="2" s="1"/>
  <c r="L96" i="2" l="1"/>
  <c r="G96" i="2"/>
  <c r="I48" i="11" s="1"/>
  <c r="I51" i="11" s="1"/>
  <c r="I53" i="11" s="1"/>
  <c r="I55" i="11" s="1"/>
  <c r="G97" i="2"/>
  <c r="K48" i="11" s="1"/>
  <c r="D64" i="35"/>
  <c r="L82" i="2" s="1"/>
  <c r="G82" i="2"/>
  <c r="G95" i="2" s="1"/>
  <c r="G48" i="11" s="1"/>
  <c r="L234" i="2"/>
  <c r="G77" i="2"/>
  <c r="L94" i="2"/>
  <c r="G94" i="2"/>
  <c r="E48" i="11" s="1"/>
  <c r="E51" i="11" s="1"/>
  <c r="E53" i="11" s="1"/>
  <c r="E55" i="11" s="1"/>
  <c r="I62" i="11" l="1"/>
  <c r="I64" i="11" s="1"/>
  <c r="I66" i="11" s="1"/>
  <c r="G91" i="2"/>
  <c r="J82" i="2"/>
  <c r="G51" i="11"/>
  <c r="G53" i="11" s="1"/>
  <c r="G55" i="11" s="1"/>
  <c r="G56" i="11" s="1"/>
  <c r="G62" i="11"/>
  <c r="G64" i="11" s="1"/>
  <c r="G66" i="11" s="1"/>
  <c r="L237" i="2"/>
  <c r="L68" i="2" s="1"/>
  <c r="E62" i="11"/>
  <c r="E64" i="11" s="1"/>
  <c r="E66" i="11" s="1"/>
  <c r="G100" i="2"/>
  <c r="K62" i="11"/>
  <c r="K51" i="11"/>
  <c r="M48" i="11"/>
  <c r="I72" i="11" l="1"/>
  <c r="I74" i="11" s="1"/>
  <c r="I76" i="11" s="1"/>
  <c r="L239" i="2"/>
  <c r="J155" i="2" s="1"/>
  <c r="I67" i="11"/>
  <c r="E56" i="11"/>
  <c r="I56" i="11"/>
  <c r="J83" i="2"/>
  <c r="L83" i="2" s="1"/>
  <c r="J181" i="2"/>
  <c r="H75" i="13"/>
  <c r="G75" i="20"/>
  <c r="J78" i="2"/>
  <c r="G72" i="11"/>
  <c r="G74" i="11" s="1"/>
  <c r="G76" i="11" s="1"/>
  <c r="G67" i="11"/>
  <c r="E72" i="11"/>
  <c r="E74" i="11" s="1"/>
  <c r="E76" i="11" s="1"/>
  <c r="E67" i="11"/>
  <c r="K64" i="11"/>
  <c r="M62" i="11"/>
  <c r="K53" i="11"/>
  <c r="M51" i="11"/>
  <c r="K72" i="11"/>
  <c r="J250" i="2" l="1"/>
  <c r="L250" i="2" s="1"/>
  <c r="L255" i="2" s="1"/>
  <c r="L257" i="2" s="1"/>
  <c r="J74" i="2" s="1"/>
  <c r="L74" i="2" s="1"/>
  <c r="J168" i="2"/>
  <c r="J169" i="2"/>
  <c r="J69" i="2"/>
  <c r="L69" i="2" s="1"/>
  <c r="L95" i="2" s="1"/>
  <c r="F64" i="13" s="1"/>
  <c r="J119" i="2"/>
  <c r="L119" i="2" s="1"/>
  <c r="E77" i="11"/>
  <c r="G77" i="11"/>
  <c r="I77" i="11"/>
  <c r="K55" i="11"/>
  <c r="M53" i="11"/>
  <c r="K74" i="11"/>
  <c r="M72" i="11"/>
  <c r="K66" i="11"/>
  <c r="M64" i="11"/>
  <c r="J189" i="2" l="1"/>
  <c r="L189" i="2" s="1"/>
  <c r="J115" i="2"/>
  <c r="L115" i="2" s="1"/>
  <c r="J123" i="2"/>
  <c r="L123" i="2" s="1"/>
  <c r="J73" i="2"/>
  <c r="L73" i="2" s="1"/>
  <c r="J182" i="2"/>
  <c r="J171" i="2"/>
  <c r="L171" i="2" s="1"/>
  <c r="J88" i="2"/>
  <c r="L88" i="2" s="1"/>
  <c r="L98" i="2" s="1"/>
  <c r="J87" i="2"/>
  <c r="L87" i="2" s="1"/>
  <c r="J86" i="2"/>
  <c r="L86" i="2" s="1"/>
  <c r="J121" i="2"/>
  <c r="L121" i="2" s="1"/>
  <c r="J72" i="2"/>
  <c r="L72" i="2" s="1"/>
  <c r="J183" i="2"/>
  <c r="J165" i="2"/>
  <c r="G64" i="20"/>
  <c r="K68" i="11"/>
  <c r="K69" i="11" s="1"/>
  <c r="I68" i="11"/>
  <c r="I69" i="11" s="1"/>
  <c r="G68" i="11"/>
  <c r="G69" i="11" s="1"/>
  <c r="E68" i="11"/>
  <c r="K76" i="11"/>
  <c r="M74" i="11"/>
  <c r="K57" i="11"/>
  <c r="K58" i="11" s="1"/>
  <c r="I57" i="11"/>
  <c r="I58" i="11" s="1"/>
  <c r="E57" i="11"/>
  <c r="G57" i="11"/>
  <c r="G58" i="11" s="1"/>
  <c r="L97" i="2" l="1"/>
  <c r="L100" i="2" s="1"/>
  <c r="J100" i="2" s="1"/>
  <c r="L91" i="2"/>
  <c r="L77" i="2"/>
  <c r="J77" i="2" s="1"/>
  <c r="H51" i="30" s="1"/>
  <c r="I51" i="30" s="1"/>
  <c r="I50" i="30" s="1"/>
  <c r="K78" i="11"/>
  <c r="K79" i="11" s="1"/>
  <c r="G78" i="11"/>
  <c r="G79" i="11" s="1"/>
  <c r="I78" i="11"/>
  <c r="I79" i="11" s="1"/>
  <c r="E78" i="11"/>
  <c r="E79" i="11" s="1"/>
  <c r="M68" i="11"/>
  <c r="E69" i="11"/>
  <c r="M69" i="11" s="1"/>
  <c r="E70" i="11" s="1"/>
  <c r="E58" i="11"/>
  <c r="M58" i="11" s="1"/>
  <c r="E59" i="11" s="1"/>
  <c r="M57" i="11"/>
  <c r="J124" i="2" l="1"/>
  <c r="L124" i="2" s="1"/>
  <c r="J167" i="2"/>
  <c r="L167" i="2" s="1"/>
  <c r="J122" i="2"/>
  <c r="L122" i="2" s="1"/>
  <c r="J193" i="2"/>
  <c r="L193" i="2" s="1"/>
  <c r="J207" i="2"/>
  <c r="L207" i="2" s="1"/>
  <c r="F37" i="20" s="1"/>
  <c r="I70" i="11"/>
  <c r="G59" i="11"/>
  <c r="H34" i="30" s="1"/>
  <c r="I34" i="30" s="1"/>
  <c r="I33" i="30" s="1"/>
  <c r="I59" i="11"/>
  <c r="G70" i="11"/>
  <c r="H28" i="30" s="1"/>
  <c r="I28" i="30" s="1"/>
  <c r="I27" i="30" s="1"/>
  <c r="M79" i="11"/>
  <c r="E80" i="11" s="1"/>
  <c r="E37" i="13" l="1"/>
  <c r="G80" i="11"/>
  <c r="H45" i="30" s="1"/>
  <c r="I45" i="30" s="1"/>
  <c r="I44" i="30" s="1"/>
  <c r="I25" i="30" s="1"/>
  <c r="L191" i="2" s="1"/>
  <c r="L194" i="2" s="1"/>
  <c r="I80" i="11"/>
  <c r="L208" i="2" l="1"/>
  <c r="G208" i="2"/>
  <c r="F38" i="20" l="1"/>
  <c r="E38" i="13"/>
  <c r="E51" i="5" l="1"/>
  <c r="I42" i="5" l="1"/>
  <c r="G51" i="5"/>
  <c r="I49" i="5"/>
  <c r="I51" i="5" s="1"/>
  <c r="G108" i="2" s="1"/>
  <c r="I26" i="5"/>
  <c r="I34" i="5"/>
  <c r="I52" i="5"/>
  <c r="L108" i="2" s="1"/>
  <c r="G44" i="5" l="1"/>
  <c r="G28" i="5" l="1"/>
  <c r="I41" i="5"/>
  <c r="G107" i="2" s="1"/>
  <c r="I33" i="5"/>
  <c r="I43" i="5"/>
  <c r="E36" i="5"/>
  <c r="G36" i="5"/>
  <c r="I44" i="5" l="1"/>
  <c r="L107" i="2" s="1"/>
  <c r="I25" i="5"/>
  <c r="G105" i="2" s="1"/>
  <c r="I35" i="5"/>
  <c r="I36" i="5" s="1"/>
  <c r="L106" i="2" s="1"/>
  <c r="G106" i="2"/>
  <c r="I17" i="5"/>
  <c r="G104" i="2" s="1"/>
  <c r="G20" i="5"/>
  <c r="E44" i="5"/>
  <c r="G109" i="2" l="1"/>
  <c r="I19" i="5" l="1"/>
  <c r="I20" i="5" s="1"/>
  <c r="L104" i="2" s="1"/>
  <c r="E20" i="5"/>
  <c r="I27" i="5" l="1"/>
  <c r="I28" i="5" s="1"/>
  <c r="L105" i="2" s="1"/>
  <c r="L109" i="2" s="1"/>
  <c r="E28" i="5"/>
  <c r="L181" i="2" l="1"/>
  <c r="L183" i="2"/>
  <c r="L182" i="2" l="1"/>
  <c r="G76" i="20"/>
  <c r="G77" i="20" s="1"/>
  <c r="G78" i="20" s="1"/>
  <c r="G79" i="20" s="1"/>
  <c r="H76" i="13"/>
  <c r="H77" i="13" s="1"/>
  <c r="H78" i="13" s="1"/>
  <c r="H79" i="13" s="1"/>
  <c r="D98" i="13" s="1"/>
  <c r="F59" i="13"/>
  <c r="G59" i="20"/>
  <c r="D1434" i="20" l="1"/>
  <c r="I1435" i="20" s="1"/>
  <c r="E1438" i="20" s="1"/>
  <c r="D1256" i="20"/>
  <c r="I1257" i="20" s="1"/>
  <c r="E1260" i="20" s="1"/>
  <c r="F1260" i="20" s="1"/>
  <c r="D1261" i="20" s="1"/>
  <c r="E1261" i="20" s="1"/>
  <c r="F1261" i="20" s="1"/>
  <c r="D1262" i="20" s="1"/>
  <c r="E1262" i="20" s="1"/>
  <c r="F1262" i="20" s="1"/>
  <c r="D1263" i="20" s="1"/>
  <c r="E1263" i="20" s="1"/>
  <c r="F1263" i="20" s="1"/>
  <c r="D1264" i="20" s="1"/>
  <c r="E1264" i="20" s="1"/>
  <c r="F1264" i="20" s="1"/>
  <c r="D1265" i="20" s="1"/>
  <c r="E1265" i="20" s="1"/>
  <c r="F1265" i="20" s="1"/>
  <c r="D1266" i="20" s="1"/>
  <c r="E1266" i="20" s="1"/>
  <c r="F1266" i="20" s="1"/>
  <c r="D1267" i="20" s="1"/>
  <c r="E1267" i="20" s="1"/>
  <c r="F1267" i="20" s="1"/>
  <c r="D1268" i="20" s="1"/>
  <c r="E1268" i="20" s="1"/>
  <c r="F1268" i="20" s="1"/>
  <c r="D1269" i="20" s="1"/>
  <c r="E1269" i="20" s="1"/>
  <c r="F1269" i="20" s="1"/>
  <c r="D1270" i="20" s="1"/>
  <c r="E1270" i="20" s="1"/>
  <c r="F1270" i="20" s="1"/>
  <c r="D1271" i="20" s="1"/>
  <c r="E1271" i="20" s="1"/>
  <c r="F1271" i="20" s="1"/>
  <c r="D1272" i="20" s="1"/>
  <c r="E1272" i="20" s="1"/>
  <c r="F1272" i="20" s="1"/>
  <c r="D1273" i="20" s="1"/>
  <c r="E1273" i="20" s="1"/>
  <c r="F1273" i="20" s="1"/>
  <c r="D1274" i="20" s="1"/>
  <c r="E1274" i="20" s="1"/>
  <c r="F1274" i="20" s="1"/>
  <c r="D1275" i="20" s="1"/>
  <c r="E1275" i="20" s="1"/>
  <c r="F1275" i="20" s="1"/>
  <c r="D1276" i="20" s="1"/>
  <c r="E1276" i="20" s="1"/>
  <c r="F1276" i="20" s="1"/>
  <c r="D1277" i="20" s="1"/>
  <c r="E1277" i="20" s="1"/>
  <c r="F1277" i="20" s="1"/>
  <c r="D1278" i="20" s="1"/>
  <c r="E1278" i="20" s="1"/>
  <c r="F1278" i="20" s="1"/>
  <c r="D1279" i="20" s="1"/>
  <c r="E1279" i="20" s="1"/>
  <c r="F1279" i="20" s="1"/>
  <c r="D1280" i="20" s="1"/>
  <c r="E1280" i="20" s="1"/>
  <c r="F1280" i="20" s="1"/>
  <c r="D1281" i="20" s="1"/>
  <c r="E1281" i="20" s="1"/>
  <c r="F1281" i="20" s="1"/>
  <c r="D1282" i="20" s="1"/>
  <c r="E1282" i="20" s="1"/>
  <c r="F1282" i="20" s="1"/>
  <c r="D1283" i="20" s="1"/>
  <c r="E1283" i="20" s="1"/>
  <c r="F1283" i="20" s="1"/>
  <c r="D1284" i="20" s="1"/>
  <c r="E1284" i="20" s="1"/>
  <c r="F1284" i="20" s="1"/>
  <c r="D1285" i="20" s="1"/>
  <c r="E1285" i="20" s="1"/>
  <c r="F1285" i="20" s="1"/>
  <c r="D1286" i="20" s="1"/>
  <c r="E1286" i="20" s="1"/>
  <c r="F1286" i="20" s="1"/>
  <c r="D1287" i="20" s="1"/>
  <c r="E1287" i="20" s="1"/>
  <c r="F1287" i="20" s="1"/>
  <c r="D1288" i="20" s="1"/>
  <c r="E1288" i="20" s="1"/>
  <c r="F1288" i="20" s="1"/>
  <c r="D1289" i="20" s="1"/>
  <c r="E1289" i="20" s="1"/>
  <c r="F1289" i="20" s="1"/>
  <c r="D1290" i="20" s="1"/>
  <c r="E1290" i="20" s="1"/>
  <c r="F1290" i="20" s="1"/>
  <c r="D1291" i="20" s="1"/>
  <c r="E1291" i="20" s="1"/>
  <c r="F1291" i="20" s="1"/>
  <c r="D1292" i="20" s="1"/>
  <c r="E1292" i="20" s="1"/>
  <c r="F1292" i="20" s="1"/>
  <c r="D1293" i="20" s="1"/>
  <c r="E1293" i="20" s="1"/>
  <c r="F1293" i="20" s="1"/>
  <c r="D1294" i="20" s="1"/>
  <c r="E1294" i="20" s="1"/>
  <c r="F1294" i="20" s="1"/>
  <c r="D1295" i="20" s="1"/>
  <c r="E1295" i="20" s="1"/>
  <c r="F1295" i="20" s="1"/>
  <c r="D1296" i="20" s="1"/>
  <c r="E1296" i="20" s="1"/>
  <c r="F1296" i="20" s="1"/>
  <c r="D1297" i="20" s="1"/>
  <c r="E1297" i="20" s="1"/>
  <c r="F1297" i="20" s="1"/>
  <c r="D1298" i="20" s="1"/>
  <c r="E1298" i="20" s="1"/>
  <c r="F1298" i="20" s="1"/>
  <c r="D1299" i="20" s="1"/>
  <c r="E1299" i="20" s="1"/>
  <c r="F1299" i="20" s="1"/>
  <c r="D1300" i="20" s="1"/>
  <c r="E1300" i="20" s="1"/>
  <c r="F1300" i="20" s="1"/>
  <c r="D1301" i="20" s="1"/>
  <c r="E1301" i="20" s="1"/>
  <c r="F1301" i="20" s="1"/>
  <c r="D1302" i="20" s="1"/>
  <c r="E1302" i="20" s="1"/>
  <c r="F1302" i="20" s="1"/>
  <c r="D1303" i="20" s="1"/>
  <c r="E1303" i="20" s="1"/>
  <c r="F1303" i="20" s="1"/>
  <c r="D1304" i="20" s="1"/>
  <c r="E1304" i="20" s="1"/>
  <c r="F1304" i="20" s="1"/>
  <c r="D1305" i="20" s="1"/>
  <c r="E1305" i="20" s="1"/>
  <c r="F1305" i="20" s="1"/>
  <c r="D1306" i="20" s="1"/>
  <c r="E1306" i="20" s="1"/>
  <c r="F1306" i="20" s="1"/>
  <c r="D1307" i="20" s="1"/>
  <c r="E1307" i="20" s="1"/>
  <c r="F1307" i="20" s="1"/>
  <c r="D1308" i="20" s="1"/>
  <c r="E1308" i="20" s="1"/>
  <c r="F1308" i="20" s="1"/>
  <c r="D1309" i="20" s="1"/>
  <c r="E1309" i="20" s="1"/>
  <c r="F1309" i="20" s="1"/>
  <c r="D1310" i="20" s="1"/>
  <c r="E1310" i="20" s="1"/>
  <c r="F1310" i="20" s="1"/>
  <c r="D1311" i="20" s="1"/>
  <c r="E1311" i="20" s="1"/>
  <c r="F1311" i="20" s="1"/>
  <c r="D1312" i="20" s="1"/>
  <c r="E1312" i="20" s="1"/>
  <c r="F1312" i="20" s="1"/>
  <c r="D1313" i="20" s="1"/>
  <c r="E1313" i="20" s="1"/>
  <c r="F1313" i="20" s="1"/>
  <c r="D1314" i="20" s="1"/>
  <c r="E1314" i="20" s="1"/>
  <c r="F1314" i="20" s="1"/>
  <c r="D1315" i="20" s="1"/>
  <c r="E1315" i="20" s="1"/>
  <c r="F1315" i="20" s="1"/>
  <c r="D1316" i="20" s="1"/>
  <c r="E1316" i="20" s="1"/>
  <c r="F1316" i="20" s="1"/>
  <c r="D1317" i="20" s="1"/>
  <c r="E1317" i="20" s="1"/>
  <c r="F1317" i="20" s="1"/>
  <c r="D1318" i="20" s="1"/>
  <c r="E1318" i="20" s="1"/>
  <c r="F1318" i="20" s="1"/>
  <c r="D1319" i="20" s="1"/>
  <c r="D633" i="20"/>
  <c r="I634" i="20" s="1"/>
  <c r="E637" i="20" s="1"/>
  <c r="F637" i="20" s="1"/>
  <c r="D638" i="20" s="1"/>
  <c r="E638" i="20" s="1"/>
  <c r="F638" i="20" s="1"/>
  <c r="D639" i="20" s="1"/>
  <c r="E639" i="20" s="1"/>
  <c r="F639" i="20" s="1"/>
  <c r="D640" i="20" s="1"/>
  <c r="E640" i="20" s="1"/>
  <c r="F640" i="20" s="1"/>
  <c r="D641" i="20" s="1"/>
  <c r="E641" i="20" s="1"/>
  <c r="F641" i="20" s="1"/>
  <c r="D642" i="20" s="1"/>
  <c r="E642" i="20" s="1"/>
  <c r="F642" i="20" s="1"/>
  <c r="D643" i="20" s="1"/>
  <c r="E643" i="20" s="1"/>
  <c r="F643" i="20" s="1"/>
  <c r="D644" i="20" s="1"/>
  <c r="E644" i="20" s="1"/>
  <c r="F644" i="20" s="1"/>
  <c r="D645" i="20" s="1"/>
  <c r="E645" i="20" s="1"/>
  <c r="F645" i="20" s="1"/>
  <c r="D646" i="20" s="1"/>
  <c r="E646" i="20" s="1"/>
  <c r="F646" i="20" s="1"/>
  <c r="D647" i="20" s="1"/>
  <c r="E647" i="20" s="1"/>
  <c r="F647" i="20" s="1"/>
  <c r="D648" i="20" s="1"/>
  <c r="E648" i="20" s="1"/>
  <c r="F648" i="20" s="1"/>
  <c r="D649" i="20" s="1"/>
  <c r="E649" i="20" s="1"/>
  <c r="F649" i="20" s="1"/>
  <c r="D650" i="20" s="1"/>
  <c r="E650" i="20" s="1"/>
  <c r="F650" i="20" s="1"/>
  <c r="D651" i="20" s="1"/>
  <c r="E651" i="20" s="1"/>
  <c r="F651" i="20" s="1"/>
  <c r="D652" i="20" s="1"/>
  <c r="E652" i="20" s="1"/>
  <c r="F652" i="20" s="1"/>
  <c r="D653" i="20" s="1"/>
  <c r="E653" i="20" s="1"/>
  <c r="F653" i="20" s="1"/>
  <c r="D654" i="20" s="1"/>
  <c r="E654" i="20" s="1"/>
  <c r="F654" i="20" s="1"/>
  <c r="D655" i="20" s="1"/>
  <c r="E655" i="20" s="1"/>
  <c r="F655" i="20" s="1"/>
  <c r="D656" i="20" s="1"/>
  <c r="E656" i="20" s="1"/>
  <c r="F656" i="20" s="1"/>
  <c r="D657" i="20" s="1"/>
  <c r="E657" i="20" s="1"/>
  <c r="F657" i="20" s="1"/>
  <c r="D658" i="20" s="1"/>
  <c r="E658" i="20" s="1"/>
  <c r="F658" i="20" s="1"/>
  <c r="D659" i="20" s="1"/>
  <c r="E659" i="20" s="1"/>
  <c r="F659" i="20" s="1"/>
  <c r="D660" i="20" s="1"/>
  <c r="E660" i="20" s="1"/>
  <c r="F660" i="20" s="1"/>
  <c r="D661" i="20" s="1"/>
  <c r="E661" i="20" s="1"/>
  <c r="F661" i="20" s="1"/>
  <c r="D662" i="20" s="1"/>
  <c r="E662" i="20" s="1"/>
  <c r="F662" i="20" s="1"/>
  <c r="D663" i="20" s="1"/>
  <c r="E663" i="20" s="1"/>
  <c r="F663" i="20" s="1"/>
  <c r="D664" i="20" s="1"/>
  <c r="E664" i="20" s="1"/>
  <c r="F664" i="20" s="1"/>
  <c r="D665" i="20" s="1"/>
  <c r="E665" i="20" s="1"/>
  <c r="F665" i="20" s="1"/>
  <c r="D666" i="20" s="1"/>
  <c r="E666" i="20" s="1"/>
  <c r="F666" i="20" s="1"/>
  <c r="D667" i="20" s="1"/>
  <c r="E667" i="20" s="1"/>
  <c r="F667" i="20" s="1"/>
  <c r="D668" i="20" s="1"/>
  <c r="E668" i="20" s="1"/>
  <c r="F668" i="20" s="1"/>
  <c r="D669" i="20" s="1"/>
  <c r="E669" i="20" s="1"/>
  <c r="F669" i="20" s="1"/>
  <c r="D670" i="20" s="1"/>
  <c r="E670" i="20" s="1"/>
  <c r="F670" i="20" s="1"/>
  <c r="D671" i="20" s="1"/>
  <c r="E671" i="20" s="1"/>
  <c r="F671" i="20" s="1"/>
  <c r="D672" i="20" s="1"/>
  <c r="E672" i="20" s="1"/>
  <c r="F672" i="20" s="1"/>
  <c r="D673" i="20" s="1"/>
  <c r="E673" i="20" s="1"/>
  <c r="F673" i="20" s="1"/>
  <c r="D674" i="20" s="1"/>
  <c r="E674" i="20" s="1"/>
  <c r="F674" i="20" s="1"/>
  <c r="D675" i="20" s="1"/>
  <c r="E675" i="20" s="1"/>
  <c r="F675" i="20" s="1"/>
  <c r="D676" i="20" s="1"/>
  <c r="E676" i="20" s="1"/>
  <c r="F676" i="20" s="1"/>
  <c r="D677" i="20" s="1"/>
  <c r="E677" i="20" s="1"/>
  <c r="F677" i="20" s="1"/>
  <c r="D678" i="20" s="1"/>
  <c r="E678" i="20" s="1"/>
  <c r="F678" i="20" s="1"/>
  <c r="D679" i="20" s="1"/>
  <c r="E679" i="20" s="1"/>
  <c r="F679" i="20" s="1"/>
  <c r="D680" i="20" s="1"/>
  <c r="E680" i="20" s="1"/>
  <c r="F680" i="20" s="1"/>
  <c r="D681" i="20" s="1"/>
  <c r="E681" i="20" s="1"/>
  <c r="F681" i="20" s="1"/>
  <c r="D682" i="20" s="1"/>
  <c r="E682" i="20" s="1"/>
  <c r="F682" i="20" s="1"/>
  <c r="D683" i="20" s="1"/>
  <c r="E683" i="20" s="1"/>
  <c r="F683" i="20" s="1"/>
  <c r="D684" i="20" s="1"/>
  <c r="E684" i="20" s="1"/>
  <c r="F684" i="20" s="1"/>
  <c r="D685" i="20" s="1"/>
  <c r="E685" i="20" s="1"/>
  <c r="F685" i="20" s="1"/>
  <c r="D686" i="20" s="1"/>
  <c r="E686" i="20" s="1"/>
  <c r="F686" i="20" s="1"/>
  <c r="D687" i="20" s="1"/>
  <c r="E687" i="20" s="1"/>
  <c r="F687" i="20" s="1"/>
  <c r="D688" i="20" s="1"/>
  <c r="E688" i="20" s="1"/>
  <c r="F688" i="20" s="1"/>
  <c r="D689" i="20" s="1"/>
  <c r="E689" i="20" s="1"/>
  <c r="F689" i="20" s="1"/>
  <c r="D690" i="20" s="1"/>
  <c r="E690" i="20" s="1"/>
  <c r="F690" i="20" s="1"/>
  <c r="D691" i="20" s="1"/>
  <c r="E691" i="20" s="1"/>
  <c r="F691" i="20" s="1"/>
  <c r="D692" i="20" s="1"/>
  <c r="E692" i="20" s="1"/>
  <c r="F692" i="20" s="1"/>
  <c r="D693" i="20" s="1"/>
  <c r="E693" i="20" s="1"/>
  <c r="F693" i="20" s="1"/>
  <c r="D694" i="20" s="1"/>
  <c r="E694" i="20" s="1"/>
  <c r="F694" i="20" s="1"/>
  <c r="D695" i="20" s="1"/>
  <c r="E695" i="20" s="1"/>
  <c r="F695" i="20" s="1"/>
  <c r="D696" i="20" s="1"/>
  <c r="D1523" i="20"/>
  <c r="I1524" i="20" s="1"/>
  <c r="E1527" i="20" s="1"/>
  <c r="D277" i="20"/>
  <c r="D1167" i="20"/>
  <c r="I1168" i="20" s="1"/>
  <c r="E1171" i="20" s="1"/>
  <c r="F1171" i="20" s="1"/>
  <c r="D1172" i="20" s="1"/>
  <c r="E1172" i="20" s="1"/>
  <c r="F1172" i="20" s="1"/>
  <c r="D1173" i="20" s="1"/>
  <c r="E1173" i="20" s="1"/>
  <c r="F1173" i="20" s="1"/>
  <c r="D1174" i="20" s="1"/>
  <c r="E1174" i="20" s="1"/>
  <c r="F1174" i="20" s="1"/>
  <c r="D1175" i="20" s="1"/>
  <c r="E1175" i="20" s="1"/>
  <c r="F1175" i="20" s="1"/>
  <c r="D1176" i="20" s="1"/>
  <c r="E1176" i="20" s="1"/>
  <c r="F1176" i="20" s="1"/>
  <c r="D1177" i="20" s="1"/>
  <c r="E1177" i="20" s="1"/>
  <c r="F1177" i="20" s="1"/>
  <c r="D1178" i="20" s="1"/>
  <c r="E1178" i="20" s="1"/>
  <c r="F1178" i="20" s="1"/>
  <c r="D1179" i="20" s="1"/>
  <c r="E1179" i="20" s="1"/>
  <c r="F1179" i="20" s="1"/>
  <c r="D1180" i="20" s="1"/>
  <c r="E1180" i="20" s="1"/>
  <c r="F1180" i="20" s="1"/>
  <c r="D1181" i="20" s="1"/>
  <c r="E1181" i="20" s="1"/>
  <c r="F1181" i="20" s="1"/>
  <c r="D1182" i="20" s="1"/>
  <c r="E1182" i="20" s="1"/>
  <c r="F1182" i="20" s="1"/>
  <c r="D1183" i="20" s="1"/>
  <c r="E1183" i="20" s="1"/>
  <c r="F1183" i="20" s="1"/>
  <c r="D1184" i="20" s="1"/>
  <c r="E1184" i="20" s="1"/>
  <c r="F1184" i="20" s="1"/>
  <c r="D1185" i="20" s="1"/>
  <c r="E1185" i="20" s="1"/>
  <c r="F1185" i="20" s="1"/>
  <c r="D1186" i="20" s="1"/>
  <c r="E1186" i="20" s="1"/>
  <c r="F1186" i="20" s="1"/>
  <c r="D1187" i="20" s="1"/>
  <c r="E1187" i="20" s="1"/>
  <c r="F1187" i="20" s="1"/>
  <c r="D1188" i="20" s="1"/>
  <c r="E1188" i="20" s="1"/>
  <c r="F1188" i="20" s="1"/>
  <c r="D1189" i="20" s="1"/>
  <c r="E1189" i="20" s="1"/>
  <c r="F1189" i="20" s="1"/>
  <c r="D1190" i="20" s="1"/>
  <c r="E1190" i="20" s="1"/>
  <c r="F1190" i="20" s="1"/>
  <c r="D1191" i="20" s="1"/>
  <c r="E1191" i="20" s="1"/>
  <c r="F1191" i="20" s="1"/>
  <c r="D1192" i="20" s="1"/>
  <c r="E1192" i="20" s="1"/>
  <c r="F1192" i="20" s="1"/>
  <c r="D1193" i="20" s="1"/>
  <c r="E1193" i="20" s="1"/>
  <c r="F1193" i="20" s="1"/>
  <c r="D1194" i="20" s="1"/>
  <c r="E1194" i="20" s="1"/>
  <c r="F1194" i="20" s="1"/>
  <c r="D1195" i="20" s="1"/>
  <c r="E1195" i="20" s="1"/>
  <c r="F1195" i="20" s="1"/>
  <c r="D1196" i="20" s="1"/>
  <c r="E1196" i="20" s="1"/>
  <c r="F1196" i="20" s="1"/>
  <c r="D1197" i="20" s="1"/>
  <c r="E1197" i="20" s="1"/>
  <c r="F1197" i="20" s="1"/>
  <c r="D1198" i="20" s="1"/>
  <c r="E1198" i="20" s="1"/>
  <c r="F1198" i="20" s="1"/>
  <c r="D1199" i="20" s="1"/>
  <c r="E1199" i="20" s="1"/>
  <c r="F1199" i="20" s="1"/>
  <c r="D1200" i="20" s="1"/>
  <c r="E1200" i="20" s="1"/>
  <c r="F1200" i="20" s="1"/>
  <c r="D1201" i="20" s="1"/>
  <c r="E1201" i="20" s="1"/>
  <c r="F1201" i="20" s="1"/>
  <c r="D1202" i="20" s="1"/>
  <c r="E1202" i="20" s="1"/>
  <c r="F1202" i="20" s="1"/>
  <c r="D1203" i="20" s="1"/>
  <c r="E1203" i="20" s="1"/>
  <c r="F1203" i="20" s="1"/>
  <c r="D1204" i="20" s="1"/>
  <c r="E1204" i="20" s="1"/>
  <c r="F1204" i="20" s="1"/>
  <c r="D1205" i="20" s="1"/>
  <c r="E1205" i="20" s="1"/>
  <c r="F1205" i="20" s="1"/>
  <c r="D1206" i="20" s="1"/>
  <c r="E1206" i="20" s="1"/>
  <c r="F1206" i="20" s="1"/>
  <c r="D1207" i="20" s="1"/>
  <c r="E1207" i="20" s="1"/>
  <c r="F1207" i="20" s="1"/>
  <c r="D1208" i="20" s="1"/>
  <c r="E1208" i="20" s="1"/>
  <c r="F1208" i="20" s="1"/>
  <c r="D1209" i="20" s="1"/>
  <c r="E1209" i="20" s="1"/>
  <c r="F1209" i="20" s="1"/>
  <c r="D1210" i="20" s="1"/>
  <c r="E1210" i="20" s="1"/>
  <c r="F1210" i="20" s="1"/>
  <c r="D1211" i="20" s="1"/>
  <c r="E1211" i="20" s="1"/>
  <c r="F1211" i="20" s="1"/>
  <c r="D1212" i="20" s="1"/>
  <c r="E1212" i="20" s="1"/>
  <c r="F1212" i="20" s="1"/>
  <c r="D1213" i="20" s="1"/>
  <c r="E1213" i="20" s="1"/>
  <c r="F1213" i="20" s="1"/>
  <c r="D1214" i="20" s="1"/>
  <c r="E1214" i="20" s="1"/>
  <c r="F1214" i="20" s="1"/>
  <c r="D1215" i="20" s="1"/>
  <c r="E1215" i="20" s="1"/>
  <c r="F1215" i="20" s="1"/>
  <c r="D1216" i="20" s="1"/>
  <c r="E1216" i="20" s="1"/>
  <c r="F1216" i="20" s="1"/>
  <c r="D1217" i="20" s="1"/>
  <c r="E1217" i="20" s="1"/>
  <c r="F1217" i="20" s="1"/>
  <c r="D1218" i="20" s="1"/>
  <c r="E1218" i="20" s="1"/>
  <c r="F1218" i="20" s="1"/>
  <c r="D1219" i="20" s="1"/>
  <c r="E1219" i="20" s="1"/>
  <c r="F1219" i="20" s="1"/>
  <c r="D1220" i="20" s="1"/>
  <c r="E1220" i="20" s="1"/>
  <c r="F1220" i="20" s="1"/>
  <c r="D1221" i="20" s="1"/>
  <c r="E1221" i="20" s="1"/>
  <c r="F1221" i="20" s="1"/>
  <c r="D1222" i="20" s="1"/>
  <c r="E1222" i="20" s="1"/>
  <c r="F1222" i="20" s="1"/>
  <c r="D1223" i="20" s="1"/>
  <c r="E1223" i="20" s="1"/>
  <c r="F1223" i="20" s="1"/>
  <c r="D1224" i="20" s="1"/>
  <c r="E1224" i="20" s="1"/>
  <c r="F1224" i="20" s="1"/>
  <c r="D1225" i="20" s="1"/>
  <c r="E1225" i="20" s="1"/>
  <c r="F1225" i="20" s="1"/>
  <c r="D1226" i="20" s="1"/>
  <c r="E1226" i="20" s="1"/>
  <c r="F1226" i="20" s="1"/>
  <c r="D1227" i="20" s="1"/>
  <c r="E1227" i="20" s="1"/>
  <c r="F1227" i="20" s="1"/>
  <c r="D1228" i="20" s="1"/>
  <c r="E1228" i="20" s="1"/>
  <c r="F1228" i="20" s="1"/>
  <c r="D1229" i="20" s="1"/>
  <c r="E1229" i="20" s="1"/>
  <c r="F1229" i="20" s="1"/>
  <c r="D1230" i="20" s="1"/>
  <c r="D900" i="20"/>
  <c r="I901" i="20" s="1"/>
  <c r="E904" i="20" s="1"/>
  <c r="F904" i="20" s="1"/>
  <c r="D905" i="20" s="1"/>
  <c r="E905" i="20" s="1"/>
  <c r="F905" i="20" s="1"/>
  <c r="D906" i="20" s="1"/>
  <c r="E906" i="20" s="1"/>
  <c r="F906" i="20" s="1"/>
  <c r="D907" i="20" s="1"/>
  <c r="E907" i="20" s="1"/>
  <c r="F907" i="20" s="1"/>
  <c r="D908" i="20" s="1"/>
  <c r="E908" i="20" s="1"/>
  <c r="F908" i="20" s="1"/>
  <c r="D909" i="20" s="1"/>
  <c r="E909" i="20" s="1"/>
  <c r="F909" i="20" s="1"/>
  <c r="D910" i="20" s="1"/>
  <c r="E910" i="20" s="1"/>
  <c r="F910" i="20" s="1"/>
  <c r="D911" i="20" s="1"/>
  <c r="E911" i="20" s="1"/>
  <c r="F911" i="20" s="1"/>
  <c r="D912" i="20" s="1"/>
  <c r="E912" i="20" s="1"/>
  <c r="F912" i="20" s="1"/>
  <c r="D913" i="20" s="1"/>
  <c r="E913" i="20" s="1"/>
  <c r="F913" i="20" s="1"/>
  <c r="D914" i="20" s="1"/>
  <c r="E914" i="20" s="1"/>
  <c r="F914" i="20" s="1"/>
  <c r="D915" i="20" s="1"/>
  <c r="E915" i="20" s="1"/>
  <c r="F915" i="20" s="1"/>
  <c r="D916" i="20" s="1"/>
  <c r="E916" i="20" s="1"/>
  <c r="F916" i="20" s="1"/>
  <c r="D917" i="20" s="1"/>
  <c r="E917" i="20" s="1"/>
  <c r="F917" i="20" s="1"/>
  <c r="D918" i="20" s="1"/>
  <c r="E918" i="20" s="1"/>
  <c r="F918" i="20" s="1"/>
  <c r="D919" i="20" s="1"/>
  <c r="E919" i="20" s="1"/>
  <c r="F919" i="20" s="1"/>
  <c r="D920" i="20" s="1"/>
  <c r="E920" i="20" s="1"/>
  <c r="F920" i="20" s="1"/>
  <c r="D921" i="20" s="1"/>
  <c r="E921" i="20" s="1"/>
  <c r="F921" i="20" s="1"/>
  <c r="D922" i="20" s="1"/>
  <c r="E922" i="20" s="1"/>
  <c r="F922" i="20" s="1"/>
  <c r="D923" i="20" s="1"/>
  <c r="E923" i="20" s="1"/>
  <c r="F923" i="20" s="1"/>
  <c r="D924" i="20" s="1"/>
  <c r="E924" i="20" s="1"/>
  <c r="F924" i="20" s="1"/>
  <c r="D925" i="20" s="1"/>
  <c r="E925" i="20" s="1"/>
  <c r="F925" i="20" s="1"/>
  <c r="D926" i="20" s="1"/>
  <c r="E926" i="20" s="1"/>
  <c r="F926" i="20" s="1"/>
  <c r="D927" i="20" s="1"/>
  <c r="E927" i="20" s="1"/>
  <c r="F927" i="20" s="1"/>
  <c r="D928" i="20" s="1"/>
  <c r="E928" i="20" s="1"/>
  <c r="F928" i="20" s="1"/>
  <c r="D929" i="20" s="1"/>
  <c r="E929" i="20" s="1"/>
  <c r="F929" i="20" s="1"/>
  <c r="D930" i="20" s="1"/>
  <c r="E930" i="20" s="1"/>
  <c r="F930" i="20" s="1"/>
  <c r="D931" i="20" s="1"/>
  <c r="E931" i="20" s="1"/>
  <c r="F931" i="20" s="1"/>
  <c r="D932" i="20" s="1"/>
  <c r="E932" i="20" s="1"/>
  <c r="F932" i="20" s="1"/>
  <c r="D933" i="20" s="1"/>
  <c r="E933" i="20" s="1"/>
  <c r="F933" i="20" s="1"/>
  <c r="D934" i="20" s="1"/>
  <c r="E934" i="20" s="1"/>
  <c r="F934" i="20" s="1"/>
  <c r="D935" i="20" s="1"/>
  <c r="E935" i="20" s="1"/>
  <c r="F935" i="20" s="1"/>
  <c r="D936" i="20" s="1"/>
  <c r="E936" i="20" s="1"/>
  <c r="F936" i="20" s="1"/>
  <c r="D937" i="20" s="1"/>
  <c r="E937" i="20" s="1"/>
  <c r="F937" i="20" s="1"/>
  <c r="D938" i="20" s="1"/>
  <c r="E938" i="20" s="1"/>
  <c r="F938" i="20" s="1"/>
  <c r="D939" i="20" s="1"/>
  <c r="E939" i="20" s="1"/>
  <c r="F939" i="20" s="1"/>
  <c r="D940" i="20" s="1"/>
  <c r="E940" i="20" s="1"/>
  <c r="F940" i="20" s="1"/>
  <c r="D941" i="20" s="1"/>
  <c r="E941" i="20" s="1"/>
  <c r="F941" i="20" s="1"/>
  <c r="D942" i="20" s="1"/>
  <c r="E942" i="20" s="1"/>
  <c r="F942" i="20" s="1"/>
  <c r="D943" i="20" s="1"/>
  <c r="E943" i="20" s="1"/>
  <c r="F943" i="20" s="1"/>
  <c r="D944" i="20" s="1"/>
  <c r="E944" i="20" s="1"/>
  <c r="F944" i="20" s="1"/>
  <c r="D945" i="20" s="1"/>
  <c r="E945" i="20" s="1"/>
  <c r="F945" i="20" s="1"/>
  <c r="D946" i="20" s="1"/>
  <c r="E946" i="20" s="1"/>
  <c r="F946" i="20" s="1"/>
  <c r="D947" i="20" s="1"/>
  <c r="E947" i="20" s="1"/>
  <c r="F947" i="20" s="1"/>
  <c r="D948" i="20" s="1"/>
  <c r="E948" i="20" s="1"/>
  <c r="F948" i="20" s="1"/>
  <c r="D949" i="20" s="1"/>
  <c r="E949" i="20" s="1"/>
  <c r="F949" i="20" s="1"/>
  <c r="D950" i="20" s="1"/>
  <c r="E950" i="20" s="1"/>
  <c r="F950" i="20" s="1"/>
  <c r="D951" i="20" s="1"/>
  <c r="E951" i="20" s="1"/>
  <c r="F951" i="20" s="1"/>
  <c r="D952" i="20" s="1"/>
  <c r="E952" i="20" s="1"/>
  <c r="F952" i="20" s="1"/>
  <c r="D953" i="20" s="1"/>
  <c r="E953" i="20" s="1"/>
  <c r="F953" i="20" s="1"/>
  <c r="D954" i="20" s="1"/>
  <c r="E954" i="20" s="1"/>
  <c r="F954" i="20" s="1"/>
  <c r="D955" i="20" s="1"/>
  <c r="E955" i="20" s="1"/>
  <c r="F955" i="20" s="1"/>
  <c r="D956" i="20" s="1"/>
  <c r="E956" i="20" s="1"/>
  <c r="F956" i="20" s="1"/>
  <c r="D957" i="20" s="1"/>
  <c r="E957" i="20" s="1"/>
  <c r="F957" i="20" s="1"/>
  <c r="D958" i="20" s="1"/>
  <c r="E958" i="20" s="1"/>
  <c r="F958" i="20" s="1"/>
  <c r="D959" i="20" s="1"/>
  <c r="E959" i="20" s="1"/>
  <c r="F959" i="20" s="1"/>
  <c r="D960" i="20" s="1"/>
  <c r="E960" i="20" s="1"/>
  <c r="F960" i="20" s="1"/>
  <c r="D961" i="20" s="1"/>
  <c r="E961" i="20" s="1"/>
  <c r="F961" i="20" s="1"/>
  <c r="D962" i="20" s="1"/>
  <c r="E962" i="20" s="1"/>
  <c r="F962" i="20" s="1"/>
  <c r="D963" i="20" s="1"/>
  <c r="D188" i="20"/>
  <c r="I189" i="20" s="1"/>
  <c r="E192" i="20" s="1"/>
  <c r="F192" i="20" s="1"/>
  <c r="D193" i="20" s="1"/>
  <c r="E193" i="20" s="1"/>
  <c r="F193" i="20" s="1"/>
  <c r="D194" i="20" s="1"/>
  <c r="D722" i="20"/>
  <c r="I723" i="20" s="1"/>
  <c r="E726" i="20" s="1"/>
  <c r="F726" i="20" s="1"/>
  <c r="D727" i="20" s="1"/>
  <c r="E727" i="20" s="1"/>
  <c r="F727" i="20" s="1"/>
  <c r="D728" i="20" s="1"/>
  <c r="E728" i="20" s="1"/>
  <c r="F728" i="20" s="1"/>
  <c r="D729" i="20" s="1"/>
  <c r="E729" i="20" s="1"/>
  <c r="F729" i="20" s="1"/>
  <c r="D730" i="20" s="1"/>
  <c r="E730" i="20" s="1"/>
  <c r="F730" i="20" s="1"/>
  <c r="D731" i="20" s="1"/>
  <c r="E731" i="20" s="1"/>
  <c r="F731" i="20" s="1"/>
  <c r="D732" i="20" s="1"/>
  <c r="E732" i="20" s="1"/>
  <c r="F732" i="20" s="1"/>
  <c r="D733" i="20" s="1"/>
  <c r="E733" i="20" s="1"/>
  <c r="F733" i="20" s="1"/>
  <c r="D734" i="20" s="1"/>
  <c r="E734" i="20" s="1"/>
  <c r="F734" i="20" s="1"/>
  <c r="D735" i="20" s="1"/>
  <c r="E735" i="20" s="1"/>
  <c r="F735" i="20" s="1"/>
  <c r="D736" i="20" s="1"/>
  <c r="E736" i="20" s="1"/>
  <c r="F736" i="20" s="1"/>
  <c r="D737" i="20" s="1"/>
  <c r="E737" i="20" s="1"/>
  <c r="F737" i="20" s="1"/>
  <c r="D738" i="20" s="1"/>
  <c r="E738" i="20" s="1"/>
  <c r="F738" i="20" s="1"/>
  <c r="D739" i="20" s="1"/>
  <c r="E739" i="20" s="1"/>
  <c r="F739" i="20" s="1"/>
  <c r="D740" i="20" s="1"/>
  <c r="E740" i="20" s="1"/>
  <c r="F740" i="20" s="1"/>
  <c r="D741" i="20" s="1"/>
  <c r="E741" i="20" s="1"/>
  <c r="F741" i="20" s="1"/>
  <c r="D742" i="20" s="1"/>
  <c r="E742" i="20" s="1"/>
  <c r="F742" i="20" s="1"/>
  <c r="D743" i="20" s="1"/>
  <c r="E743" i="20" s="1"/>
  <c r="F743" i="20" s="1"/>
  <c r="D744" i="20" s="1"/>
  <c r="E744" i="20" s="1"/>
  <c r="F744" i="20" s="1"/>
  <c r="D745" i="20" s="1"/>
  <c r="E745" i="20" s="1"/>
  <c r="F745" i="20" s="1"/>
  <c r="D746" i="20" s="1"/>
  <c r="E746" i="20" s="1"/>
  <c r="F746" i="20" s="1"/>
  <c r="D747" i="20" s="1"/>
  <c r="E747" i="20" s="1"/>
  <c r="F747" i="20" s="1"/>
  <c r="D748" i="20" s="1"/>
  <c r="E748" i="20" s="1"/>
  <c r="F748" i="20" s="1"/>
  <c r="D749" i="20" s="1"/>
  <c r="E749" i="20" s="1"/>
  <c r="F749" i="20" s="1"/>
  <c r="D750" i="20" s="1"/>
  <c r="E750" i="20" s="1"/>
  <c r="F750" i="20" s="1"/>
  <c r="D751" i="20" s="1"/>
  <c r="E751" i="20" s="1"/>
  <c r="F751" i="20" s="1"/>
  <c r="D752" i="20" s="1"/>
  <c r="E752" i="20" s="1"/>
  <c r="F752" i="20" s="1"/>
  <c r="D753" i="20" s="1"/>
  <c r="E753" i="20" s="1"/>
  <c r="F753" i="20" s="1"/>
  <c r="D754" i="20" s="1"/>
  <c r="E754" i="20" s="1"/>
  <c r="F754" i="20" s="1"/>
  <c r="D755" i="20" s="1"/>
  <c r="E755" i="20" s="1"/>
  <c r="F755" i="20" s="1"/>
  <c r="D756" i="20" s="1"/>
  <c r="E756" i="20" s="1"/>
  <c r="F756" i="20" s="1"/>
  <c r="D757" i="20" s="1"/>
  <c r="E757" i="20" s="1"/>
  <c r="F757" i="20" s="1"/>
  <c r="D758" i="20" s="1"/>
  <c r="E758" i="20" s="1"/>
  <c r="F758" i="20" s="1"/>
  <c r="D759" i="20" s="1"/>
  <c r="E759" i="20" s="1"/>
  <c r="F759" i="20" s="1"/>
  <c r="D760" i="20" s="1"/>
  <c r="E760" i="20" s="1"/>
  <c r="F760" i="20" s="1"/>
  <c r="D761" i="20" s="1"/>
  <c r="E761" i="20" s="1"/>
  <c r="F761" i="20" s="1"/>
  <c r="D762" i="20" s="1"/>
  <c r="E762" i="20" s="1"/>
  <c r="F762" i="20" s="1"/>
  <c r="D763" i="20" s="1"/>
  <c r="E763" i="20" s="1"/>
  <c r="F763" i="20" s="1"/>
  <c r="D764" i="20" s="1"/>
  <c r="E764" i="20" s="1"/>
  <c r="F764" i="20" s="1"/>
  <c r="D765" i="20" s="1"/>
  <c r="E765" i="20" s="1"/>
  <c r="F765" i="20" s="1"/>
  <c r="D766" i="20" s="1"/>
  <c r="E766" i="20" s="1"/>
  <c r="F766" i="20" s="1"/>
  <c r="D767" i="20" s="1"/>
  <c r="E767" i="20" s="1"/>
  <c r="F767" i="20" s="1"/>
  <c r="D768" i="20" s="1"/>
  <c r="E768" i="20" s="1"/>
  <c r="F768" i="20" s="1"/>
  <c r="D769" i="20" s="1"/>
  <c r="E769" i="20" s="1"/>
  <c r="F769" i="20" s="1"/>
  <c r="D770" i="20" s="1"/>
  <c r="E770" i="20" s="1"/>
  <c r="F770" i="20" s="1"/>
  <c r="D771" i="20" s="1"/>
  <c r="E771" i="20" s="1"/>
  <c r="F771" i="20" s="1"/>
  <c r="D772" i="20" s="1"/>
  <c r="E772" i="20" s="1"/>
  <c r="F772" i="20" s="1"/>
  <c r="D773" i="20" s="1"/>
  <c r="E773" i="20" s="1"/>
  <c r="F773" i="20" s="1"/>
  <c r="D774" i="20" s="1"/>
  <c r="E774" i="20" s="1"/>
  <c r="F774" i="20" s="1"/>
  <c r="D775" i="20" s="1"/>
  <c r="E775" i="20" s="1"/>
  <c r="F775" i="20" s="1"/>
  <c r="D776" i="20" s="1"/>
  <c r="E776" i="20" s="1"/>
  <c r="F776" i="20" s="1"/>
  <c r="D777" i="20" s="1"/>
  <c r="E777" i="20" s="1"/>
  <c r="F777" i="20" s="1"/>
  <c r="D778" i="20" s="1"/>
  <c r="E778" i="20" s="1"/>
  <c r="F778" i="20" s="1"/>
  <c r="D779" i="20" s="1"/>
  <c r="E779" i="20" s="1"/>
  <c r="F779" i="20" s="1"/>
  <c r="D780" i="20" s="1"/>
  <c r="E780" i="20" s="1"/>
  <c r="F780" i="20" s="1"/>
  <c r="D781" i="20" s="1"/>
  <c r="E781" i="20" s="1"/>
  <c r="F781" i="20" s="1"/>
  <c r="D782" i="20" s="1"/>
  <c r="E782" i="20" s="1"/>
  <c r="F782" i="20" s="1"/>
  <c r="D783" i="20" s="1"/>
  <c r="E783" i="20" s="1"/>
  <c r="F783" i="20" s="1"/>
  <c r="D784" i="20" s="1"/>
  <c r="E784" i="20" s="1"/>
  <c r="F784" i="20" s="1"/>
  <c r="D785" i="20" s="1"/>
  <c r="D989" i="20"/>
  <c r="D98" i="20"/>
  <c r="I99" i="20" s="1"/>
  <c r="E102" i="20" s="1"/>
  <c r="F102" i="20" s="1"/>
  <c r="D103" i="20" s="1"/>
  <c r="E103" i="20" s="1"/>
  <c r="F103" i="20" s="1"/>
  <c r="D104" i="20" s="1"/>
  <c r="D544" i="20"/>
  <c r="I545" i="20" s="1"/>
  <c r="E548" i="20" s="1"/>
  <c r="F548" i="20" s="1"/>
  <c r="D549" i="20" s="1"/>
  <c r="E549" i="20" s="1"/>
  <c r="F549" i="20" s="1"/>
  <c r="D550" i="20" s="1"/>
  <c r="E550" i="20" s="1"/>
  <c r="F550" i="20" s="1"/>
  <c r="D551" i="20" s="1"/>
  <c r="E551" i="20" s="1"/>
  <c r="F551" i="20" s="1"/>
  <c r="D552" i="20" s="1"/>
  <c r="E552" i="20" s="1"/>
  <c r="F552" i="20" s="1"/>
  <c r="D553" i="20" s="1"/>
  <c r="E553" i="20" s="1"/>
  <c r="F553" i="20" s="1"/>
  <c r="D554" i="20" s="1"/>
  <c r="E554" i="20" s="1"/>
  <c r="F554" i="20" s="1"/>
  <c r="D555" i="20" s="1"/>
  <c r="E555" i="20" s="1"/>
  <c r="F555" i="20" s="1"/>
  <c r="D556" i="20" s="1"/>
  <c r="E556" i="20" s="1"/>
  <c r="F556" i="20" s="1"/>
  <c r="D557" i="20" s="1"/>
  <c r="E557" i="20" s="1"/>
  <c r="F557" i="20" s="1"/>
  <c r="D558" i="20" s="1"/>
  <c r="E558" i="20" s="1"/>
  <c r="F558" i="20" s="1"/>
  <c r="D559" i="20" s="1"/>
  <c r="E559" i="20" s="1"/>
  <c r="F559" i="20" s="1"/>
  <c r="D560" i="20" s="1"/>
  <c r="E560" i="20" s="1"/>
  <c r="F560" i="20" s="1"/>
  <c r="D561" i="20" s="1"/>
  <c r="E561" i="20" s="1"/>
  <c r="F561" i="20" s="1"/>
  <c r="D562" i="20" s="1"/>
  <c r="E562" i="20" s="1"/>
  <c r="F562" i="20" s="1"/>
  <c r="D563" i="20" s="1"/>
  <c r="E563" i="20" s="1"/>
  <c r="F563" i="20" s="1"/>
  <c r="D564" i="20" s="1"/>
  <c r="E564" i="20" s="1"/>
  <c r="F564" i="20" s="1"/>
  <c r="D565" i="20" s="1"/>
  <c r="E565" i="20" s="1"/>
  <c r="F565" i="20" s="1"/>
  <c r="D566" i="20" s="1"/>
  <c r="E566" i="20" s="1"/>
  <c r="F566" i="20" s="1"/>
  <c r="D567" i="20" s="1"/>
  <c r="E567" i="20" s="1"/>
  <c r="F567" i="20" s="1"/>
  <c r="D568" i="20" s="1"/>
  <c r="E568" i="20" s="1"/>
  <c r="F568" i="20" s="1"/>
  <c r="D569" i="20" s="1"/>
  <c r="E569" i="20" s="1"/>
  <c r="F569" i="20" s="1"/>
  <c r="D570" i="20" s="1"/>
  <c r="E570" i="20" s="1"/>
  <c r="F570" i="20" s="1"/>
  <c r="D571" i="20" s="1"/>
  <c r="E571" i="20" s="1"/>
  <c r="F571" i="20" s="1"/>
  <c r="D572" i="20" s="1"/>
  <c r="E572" i="20" s="1"/>
  <c r="F572" i="20" s="1"/>
  <c r="D573" i="20" s="1"/>
  <c r="E573" i="20" s="1"/>
  <c r="F573" i="20" s="1"/>
  <c r="D574" i="20" s="1"/>
  <c r="E574" i="20" s="1"/>
  <c r="F574" i="20" s="1"/>
  <c r="D575" i="20" s="1"/>
  <c r="E575" i="20" s="1"/>
  <c r="F575" i="20" s="1"/>
  <c r="D576" i="20" s="1"/>
  <c r="E576" i="20" s="1"/>
  <c r="F576" i="20" s="1"/>
  <c r="D577" i="20" s="1"/>
  <c r="E577" i="20" s="1"/>
  <c r="F577" i="20" s="1"/>
  <c r="D578" i="20" s="1"/>
  <c r="E578" i="20" s="1"/>
  <c r="F578" i="20" s="1"/>
  <c r="D579" i="20" s="1"/>
  <c r="E579" i="20" s="1"/>
  <c r="F579" i="20" s="1"/>
  <c r="D580" i="20" s="1"/>
  <c r="E580" i="20" s="1"/>
  <c r="F580" i="20" s="1"/>
  <c r="D581" i="20" s="1"/>
  <c r="E581" i="20" s="1"/>
  <c r="F581" i="20" s="1"/>
  <c r="D582" i="20" s="1"/>
  <c r="E582" i="20" s="1"/>
  <c r="F582" i="20" s="1"/>
  <c r="D583" i="20" s="1"/>
  <c r="E583" i="20" s="1"/>
  <c r="F583" i="20" s="1"/>
  <c r="D584" i="20" s="1"/>
  <c r="E584" i="20" s="1"/>
  <c r="F584" i="20" s="1"/>
  <c r="D585" i="20" s="1"/>
  <c r="E585" i="20" s="1"/>
  <c r="F585" i="20" s="1"/>
  <c r="D586" i="20" s="1"/>
  <c r="E586" i="20" s="1"/>
  <c r="F586" i="20" s="1"/>
  <c r="D587" i="20" s="1"/>
  <c r="E587" i="20" s="1"/>
  <c r="F587" i="20" s="1"/>
  <c r="D588" i="20" s="1"/>
  <c r="E588" i="20" s="1"/>
  <c r="F588" i="20" s="1"/>
  <c r="D589" i="20" s="1"/>
  <c r="E589" i="20" s="1"/>
  <c r="F589" i="20" s="1"/>
  <c r="D590" i="20" s="1"/>
  <c r="E590" i="20" s="1"/>
  <c r="F590" i="20" s="1"/>
  <c r="D591" i="20" s="1"/>
  <c r="E591" i="20" s="1"/>
  <c r="F591" i="20" s="1"/>
  <c r="D592" i="20" s="1"/>
  <c r="E592" i="20" s="1"/>
  <c r="F592" i="20" s="1"/>
  <c r="D593" i="20" s="1"/>
  <c r="E593" i="20" s="1"/>
  <c r="F593" i="20" s="1"/>
  <c r="D594" i="20" s="1"/>
  <c r="E594" i="20" s="1"/>
  <c r="F594" i="20" s="1"/>
  <c r="D595" i="20" s="1"/>
  <c r="E595" i="20" s="1"/>
  <c r="F595" i="20" s="1"/>
  <c r="D596" i="20" s="1"/>
  <c r="E596" i="20" s="1"/>
  <c r="F596" i="20" s="1"/>
  <c r="D597" i="20" s="1"/>
  <c r="E597" i="20" s="1"/>
  <c r="F597" i="20" s="1"/>
  <c r="D598" i="20" s="1"/>
  <c r="E598" i="20" s="1"/>
  <c r="F598" i="20" s="1"/>
  <c r="D599" i="20" s="1"/>
  <c r="E599" i="20" s="1"/>
  <c r="F599" i="20" s="1"/>
  <c r="D600" i="20" s="1"/>
  <c r="E600" i="20" s="1"/>
  <c r="F600" i="20" s="1"/>
  <c r="D601" i="20" s="1"/>
  <c r="E601" i="20" s="1"/>
  <c r="F601" i="20" s="1"/>
  <c r="D602" i="20" s="1"/>
  <c r="E602" i="20" s="1"/>
  <c r="F602" i="20" s="1"/>
  <c r="D603" i="20" s="1"/>
  <c r="E603" i="20" s="1"/>
  <c r="F603" i="20" s="1"/>
  <c r="D604" i="20" s="1"/>
  <c r="E604" i="20" s="1"/>
  <c r="F604" i="20" s="1"/>
  <c r="D605" i="20" s="1"/>
  <c r="E605" i="20" s="1"/>
  <c r="F605" i="20" s="1"/>
  <c r="D606" i="20" s="1"/>
  <c r="E606" i="20" s="1"/>
  <c r="F606" i="20" s="1"/>
  <c r="D607" i="20" s="1"/>
  <c r="D366" i="20"/>
  <c r="D1345" i="20"/>
  <c r="I1346" i="20" s="1"/>
  <c r="E1349" i="20" s="1"/>
  <c r="F1349" i="20" s="1"/>
  <c r="D1350" i="20" s="1"/>
  <c r="E1350" i="20" s="1"/>
  <c r="F1350" i="20" s="1"/>
  <c r="D1351" i="20" s="1"/>
  <c r="E1351" i="20" s="1"/>
  <c r="F1351" i="20" s="1"/>
  <c r="D1352" i="20" s="1"/>
  <c r="E1352" i="20" s="1"/>
  <c r="F1352" i="20" s="1"/>
  <c r="D1353" i="20" s="1"/>
  <c r="E1353" i="20" s="1"/>
  <c r="F1353" i="20" s="1"/>
  <c r="D1354" i="20" s="1"/>
  <c r="E1354" i="20" s="1"/>
  <c r="F1354" i="20" s="1"/>
  <c r="D1355" i="20" s="1"/>
  <c r="E1355" i="20" s="1"/>
  <c r="F1355" i="20" s="1"/>
  <c r="D1356" i="20" s="1"/>
  <c r="E1356" i="20" s="1"/>
  <c r="F1356" i="20" s="1"/>
  <c r="D1357" i="20" s="1"/>
  <c r="E1357" i="20" s="1"/>
  <c r="F1357" i="20" s="1"/>
  <c r="D1358" i="20" s="1"/>
  <c r="E1358" i="20" s="1"/>
  <c r="F1358" i="20" s="1"/>
  <c r="D1359" i="20" s="1"/>
  <c r="E1359" i="20" s="1"/>
  <c r="F1359" i="20" s="1"/>
  <c r="D1360" i="20" s="1"/>
  <c r="E1360" i="20" s="1"/>
  <c r="F1360" i="20" s="1"/>
  <c r="D1361" i="20" s="1"/>
  <c r="E1361" i="20" s="1"/>
  <c r="F1361" i="20" s="1"/>
  <c r="D1362" i="20" s="1"/>
  <c r="E1362" i="20" s="1"/>
  <c r="F1362" i="20" s="1"/>
  <c r="D1363" i="20" s="1"/>
  <c r="E1363" i="20" s="1"/>
  <c r="F1363" i="20" s="1"/>
  <c r="D1364" i="20" s="1"/>
  <c r="E1364" i="20" s="1"/>
  <c r="F1364" i="20" s="1"/>
  <c r="D1365" i="20" s="1"/>
  <c r="E1365" i="20" s="1"/>
  <c r="F1365" i="20" s="1"/>
  <c r="D1366" i="20" s="1"/>
  <c r="E1366" i="20" s="1"/>
  <c r="F1366" i="20" s="1"/>
  <c r="D1367" i="20" s="1"/>
  <c r="E1367" i="20" s="1"/>
  <c r="F1367" i="20" s="1"/>
  <c r="D1368" i="20" s="1"/>
  <c r="E1368" i="20" s="1"/>
  <c r="F1368" i="20" s="1"/>
  <c r="D1369" i="20" s="1"/>
  <c r="E1369" i="20" s="1"/>
  <c r="F1369" i="20" s="1"/>
  <c r="D1370" i="20" s="1"/>
  <c r="E1370" i="20" s="1"/>
  <c r="F1370" i="20" s="1"/>
  <c r="D1371" i="20" s="1"/>
  <c r="E1371" i="20" s="1"/>
  <c r="F1371" i="20" s="1"/>
  <c r="D1372" i="20" s="1"/>
  <c r="E1372" i="20" s="1"/>
  <c r="F1372" i="20" s="1"/>
  <c r="D1373" i="20" s="1"/>
  <c r="E1373" i="20" s="1"/>
  <c r="F1373" i="20" s="1"/>
  <c r="D1374" i="20" s="1"/>
  <c r="E1374" i="20" s="1"/>
  <c r="F1374" i="20" s="1"/>
  <c r="D1375" i="20" s="1"/>
  <c r="E1375" i="20" s="1"/>
  <c r="F1375" i="20" s="1"/>
  <c r="D1376" i="20" s="1"/>
  <c r="E1376" i="20" s="1"/>
  <c r="F1376" i="20" s="1"/>
  <c r="D1377" i="20" s="1"/>
  <c r="E1377" i="20" s="1"/>
  <c r="F1377" i="20" s="1"/>
  <c r="D1378" i="20" s="1"/>
  <c r="E1378" i="20" s="1"/>
  <c r="F1378" i="20" s="1"/>
  <c r="D1379" i="20" s="1"/>
  <c r="E1379" i="20" s="1"/>
  <c r="F1379" i="20" s="1"/>
  <c r="D1380" i="20" s="1"/>
  <c r="E1380" i="20" s="1"/>
  <c r="F1380" i="20" s="1"/>
  <c r="D1381" i="20" s="1"/>
  <c r="E1381" i="20" s="1"/>
  <c r="F1381" i="20" s="1"/>
  <c r="D1382" i="20" s="1"/>
  <c r="E1382" i="20" s="1"/>
  <c r="F1382" i="20" s="1"/>
  <c r="D1383" i="20" s="1"/>
  <c r="E1383" i="20" s="1"/>
  <c r="F1383" i="20" s="1"/>
  <c r="D1384" i="20" s="1"/>
  <c r="E1384" i="20" s="1"/>
  <c r="F1384" i="20" s="1"/>
  <c r="D1385" i="20" s="1"/>
  <c r="E1385" i="20" s="1"/>
  <c r="F1385" i="20" s="1"/>
  <c r="D1386" i="20" s="1"/>
  <c r="E1386" i="20" s="1"/>
  <c r="F1386" i="20" s="1"/>
  <c r="D1387" i="20" s="1"/>
  <c r="E1387" i="20" s="1"/>
  <c r="F1387" i="20" s="1"/>
  <c r="D1388" i="20" s="1"/>
  <c r="E1388" i="20" s="1"/>
  <c r="F1388" i="20" s="1"/>
  <c r="D1389" i="20" s="1"/>
  <c r="E1389" i="20" s="1"/>
  <c r="F1389" i="20" s="1"/>
  <c r="D1390" i="20" s="1"/>
  <c r="E1390" i="20" s="1"/>
  <c r="F1390" i="20" s="1"/>
  <c r="D1391" i="20" s="1"/>
  <c r="E1391" i="20" s="1"/>
  <c r="F1391" i="20" s="1"/>
  <c r="D1392" i="20" s="1"/>
  <c r="E1392" i="20" s="1"/>
  <c r="F1392" i="20" s="1"/>
  <c r="D1393" i="20" s="1"/>
  <c r="E1393" i="20" s="1"/>
  <c r="F1393" i="20" s="1"/>
  <c r="D1394" i="20" s="1"/>
  <c r="E1394" i="20" s="1"/>
  <c r="F1394" i="20" s="1"/>
  <c r="D1395" i="20" s="1"/>
  <c r="E1395" i="20" s="1"/>
  <c r="F1395" i="20" s="1"/>
  <c r="D1396" i="20" s="1"/>
  <c r="E1396" i="20" s="1"/>
  <c r="F1396" i="20" s="1"/>
  <c r="D1397" i="20" s="1"/>
  <c r="E1397" i="20" s="1"/>
  <c r="F1397" i="20" s="1"/>
  <c r="D1398" i="20" s="1"/>
  <c r="E1398" i="20" s="1"/>
  <c r="F1398" i="20" s="1"/>
  <c r="D1399" i="20" s="1"/>
  <c r="E1399" i="20" s="1"/>
  <c r="F1399" i="20" s="1"/>
  <c r="D1400" i="20" s="1"/>
  <c r="E1400" i="20" s="1"/>
  <c r="F1400" i="20" s="1"/>
  <c r="D1401" i="20" s="1"/>
  <c r="E1401" i="20" s="1"/>
  <c r="F1401" i="20" s="1"/>
  <c r="D1402" i="20" s="1"/>
  <c r="E1402" i="20" s="1"/>
  <c r="F1402" i="20" s="1"/>
  <c r="D1403" i="20" s="1"/>
  <c r="E1403" i="20" s="1"/>
  <c r="F1403" i="20" s="1"/>
  <c r="D1404" i="20" s="1"/>
  <c r="E1404" i="20" s="1"/>
  <c r="F1404" i="20" s="1"/>
  <c r="D1405" i="20" s="1"/>
  <c r="E1405" i="20" s="1"/>
  <c r="F1405" i="20" s="1"/>
  <c r="D1406" i="20" s="1"/>
  <c r="E1406" i="20" s="1"/>
  <c r="F1406" i="20" s="1"/>
  <c r="D1407" i="20" s="1"/>
  <c r="E1407" i="20" s="1"/>
  <c r="F1407" i="20" s="1"/>
  <c r="D1408" i="20" s="1"/>
  <c r="D455" i="20"/>
  <c r="I456" i="20" s="1"/>
  <c r="E459" i="20" s="1"/>
  <c r="F459" i="20" s="1"/>
  <c r="D460" i="20" s="1"/>
  <c r="E460" i="20" s="1"/>
  <c r="F460" i="20" s="1"/>
  <c r="D461" i="20" s="1"/>
  <c r="E461" i="20" s="1"/>
  <c r="F461" i="20" s="1"/>
  <c r="D462" i="20" s="1"/>
  <c r="E462" i="20" s="1"/>
  <c r="F462" i="20" s="1"/>
  <c r="D463" i="20" s="1"/>
  <c r="E463" i="20" s="1"/>
  <c r="F463" i="20" s="1"/>
  <c r="D464" i="20" s="1"/>
  <c r="E464" i="20" s="1"/>
  <c r="F464" i="20" s="1"/>
  <c r="D465" i="20" s="1"/>
  <c r="E465" i="20" s="1"/>
  <c r="F465" i="20" s="1"/>
  <c r="D466" i="20" s="1"/>
  <c r="E466" i="20" s="1"/>
  <c r="F466" i="20" s="1"/>
  <c r="D467" i="20" s="1"/>
  <c r="E467" i="20" s="1"/>
  <c r="F467" i="20" s="1"/>
  <c r="D468" i="20" s="1"/>
  <c r="E468" i="20" s="1"/>
  <c r="F468" i="20" s="1"/>
  <c r="D469" i="20" s="1"/>
  <c r="E469" i="20" s="1"/>
  <c r="F469" i="20" s="1"/>
  <c r="D470" i="20" s="1"/>
  <c r="E470" i="20" s="1"/>
  <c r="F470" i="20" s="1"/>
  <c r="D471" i="20" s="1"/>
  <c r="E471" i="20" s="1"/>
  <c r="F471" i="20" s="1"/>
  <c r="D472" i="20" s="1"/>
  <c r="E472" i="20" s="1"/>
  <c r="F472" i="20" s="1"/>
  <c r="D473" i="20" s="1"/>
  <c r="E473" i="20" s="1"/>
  <c r="F473" i="20" s="1"/>
  <c r="D474" i="20" s="1"/>
  <c r="E474" i="20" s="1"/>
  <c r="F474" i="20" s="1"/>
  <c r="D475" i="20" s="1"/>
  <c r="E475" i="20" s="1"/>
  <c r="F475" i="20" s="1"/>
  <c r="D476" i="20" s="1"/>
  <c r="E476" i="20" s="1"/>
  <c r="F476" i="20" s="1"/>
  <c r="D477" i="20" s="1"/>
  <c r="E477" i="20" s="1"/>
  <c r="F477" i="20" s="1"/>
  <c r="D478" i="20" s="1"/>
  <c r="E478" i="20" s="1"/>
  <c r="F478" i="20" s="1"/>
  <c r="D479" i="20" s="1"/>
  <c r="E479" i="20" s="1"/>
  <c r="F479" i="20" s="1"/>
  <c r="D480" i="20" s="1"/>
  <c r="E480" i="20" s="1"/>
  <c r="F480" i="20" s="1"/>
  <c r="D481" i="20" s="1"/>
  <c r="E481" i="20" s="1"/>
  <c r="F481" i="20" s="1"/>
  <c r="D482" i="20" s="1"/>
  <c r="E482" i="20" s="1"/>
  <c r="F482" i="20" s="1"/>
  <c r="D483" i="20" s="1"/>
  <c r="E483" i="20" s="1"/>
  <c r="F483" i="20" s="1"/>
  <c r="D484" i="20" s="1"/>
  <c r="E484" i="20" s="1"/>
  <c r="F484" i="20" s="1"/>
  <c r="D485" i="20" s="1"/>
  <c r="E485" i="20" s="1"/>
  <c r="F485" i="20" s="1"/>
  <c r="D486" i="20" s="1"/>
  <c r="E486" i="20" s="1"/>
  <c r="F486" i="20" s="1"/>
  <c r="D487" i="20" s="1"/>
  <c r="E487" i="20" s="1"/>
  <c r="F487" i="20" s="1"/>
  <c r="D488" i="20" s="1"/>
  <c r="E488" i="20" s="1"/>
  <c r="F488" i="20" s="1"/>
  <c r="D489" i="20" s="1"/>
  <c r="E489" i="20" s="1"/>
  <c r="F489" i="20" s="1"/>
  <c r="D490" i="20" s="1"/>
  <c r="E490" i="20" s="1"/>
  <c r="F490" i="20" s="1"/>
  <c r="D491" i="20" s="1"/>
  <c r="E491" i="20" s="1"/>
  <c r="F491" i="20" s="1"/>
  <c r="D492" i="20" s="1"/>
  <c r="E492" i="20" s="1"/>
  <c r="F492" i="20" s="1"/>
  <c r="D493" i="20" s="1"/>
  <c r="E493" i="20" s="1"/>
  <c r="F493" i="20" s="1"/>
  <c r="D494" i="20" s="1"/>
  <c r="E494" i="20" s="1"/>
  <c r="F494" i="20" s="1"/>
  <c r="D495" i="20" s="1"/>
  <c r="E495" i="20" s="1"/>
  <c r="F495" i="20" s="1"/>
  <c r="D496" i="20" s="1"/>
  <c r="E496" i="20" s="1"/>
  <c r="F496" i="20" s="1"/>
  <c r="D497" i="20" s="1"/>
  <c r="E497" i="20" s="1"/>
  <c r="F497" i="20" s="1"/>
  <c r="D498" i="20" s="1"/>
  <c r="E498" i="20" s="1"/>
  <c r="F498" i="20" s="1"/>
  <c r="D499" i="20" s="1"/>
  <c r="E499" i="20" s="1"/>
  <c r="F499" i="20" s="1"/>
  <c r="D500" i="20" s="1"/>
  <c r="E500" i="20" s="1"/>
  <c r="F500" i="20" s="1"/>
  <c r="D501" i="20" s="1"/>
  <c r="E501" i="20" s="1"/>
  <c r="F501" i="20" s="1"/>
  <c r="D502" i="20" s="1"/>
  <c r="E502" i="20" s="1"/>
  <c r="F502" i="20" s="1"/>
  <c r="D503" i="20" s="1"/>
  <c r="E503" i="20" s="1"/>
  <c r="F503" i="20" s="1"/>
  <c r="D504" i="20" s="1"/>
  <c r="E504" i="20" s="1"/>
  <c r="F504" i="20" s="1"/>
  <c r="D505" i="20" s="1"/>
  <c r="E505" i="20" s="1"/>
  <c r="F505" i="20" s="1"/>
  <c r="D506" i="20" s="1"/>
  <c r="E506" i="20" s="1"/>
  <c r="F506" i="20" s="1"/>
  <c r="D507" i="20" s="1"/>
  <c r="E507" i="20" s="1"/>
  <c r="F507" i="20" s="1"/>
  <c r="D508" i="20" s="1"/>
  <c r="E508" i="20" s="1"/>
  <c r="F508" i="20" s="1"/>
  <c r="D509" i="20" s="1"/>
  <c r="E509" i="20" s="1"/>
  <c r="F509" i="20" s="1"/>
  <c r="D510" i="20" s="1"/>
  <c r="E510" i="20" s="1"/>
  <c r="F510" i="20" s="1"/>
  <c r="D511" i="20" s="1"/>
  <c r="E511" i="20" s="1"/>
  <c r="F511" i="20" s="1"/>
  <c r="D512" i="20" s="1"/>
  <c r="E512" i="20" s="1"/>
  <c r="F512" i="20" s="1"/>
  <c r="D513" i="20" s="1"/>
  <c r="E513" i="20" s="1"/>
  <c r="F513" i="20" s="1"/>
  <c r="D514" i="20" s="1"/>
  <c r="E514" i="20" s="1"/>
  <c r="F514" i="20" s="1"/>
  <c r="D515" i="20" s="1"/>
  <c r="E515" i="20" s="1"/>
  <c r="F515" i="20" s="1"/>
  <c r="D516" i="20" s="1"/>
  <c r="E516" i="20" s="1"/>
  <c r="F516" i="20" s="1"/>
  <c r="D517" i="20" s="1"/>
  <c r="E517" i="20" s="1"/>
  <c r="F517" i="20" s="1"/>
  <c r="D518" i="20" s="1"/>
  <c r="D1078" i="20"/>
  <c r="D811" i="20"/>
  <c r="I990" i="20" l="1"/>
  <c r="E993" i="20" s="1"/>
  <c r="F993" i="20" s="1"/>
  <c r="D994" i="20" s="1"/>
  <c r="E994" i="20" s="1"/>
  <c r="F994" i="20" s="1"/>
  <c r="D995" i="20" s="1"/>
  <c r="E995" i="20" s="1"/>
  <c r="F995" i="20" s="1"/>
  <c r="D996" i="20" s="1"/>
  <c r="E996" i="20" s="1"/>
  <c r="F996" i="20" s="1"/>
  <c r="D997" i="20" s="1"/>
  <c r="E997" i="20" s="1"/>
  <c r="F997" i="20" s="1"/>
  <c r="D998" i="20" s="1"/>
  <c r="E998" i="20" s="1"/>
  <c r="F998" i="20" s="1"/>
  <c r="D999" i="20" s="1"/>
  <c r="E999" i="20" s="1"/>
  <c r="F999" i="20" s="1"/>
  <c r="D1000" i="20" s="1"/>
  <c r="E1000" i="20" s="1"/>
  <c r="F1000" i="20" s="1"/>
  <c r="D1001" i="20" s="1"/>
  <c r="E1001" i="20" s="1"/>
  <c r="F1001" i="20" s="1"/>
  <c r="D1002" i="20" s="1"/>
  <c r="E1002" i="20" s="1"/>
  <c r="F1002" i="20" s="1"/>
  <c r="D1003" i="20" s="1"/>
  <c r="E1003" i="20" s="1"/>
  <c r="F1003" i="20" s="1"/>
  <c r="D1004" i="20" s="1"/>
  <c r="E1004" i="20" s="1"/>
  <c r="F1004" i="20" s="1"/>
  <c r="D1005" i="20" s="1"/>
  <c r="E1005" i="20" s="1"/>
  <c r="F1005" i="20" s="1"/>
  <c r="D1006" i="20" s="1"/>
  <c r="E1006" i="20" s="1"/>
  <c r="F1006" i="20" s="1"/>
  <c r="D1007" i="20" s="1"/>
  <c r="E1007" i="20" s="1"/>
  <c r="F1007" i="20" s="1"/>
  <c r="D1008" i="20" s="1"/>
  <c r="E1008" i="20" s="1"/>
  <c r="F1008" i="20" s="1"/>
  <c r="D1009" i="20" s="1"/>
  <c r="E1009" i="20" s="1"/>
  <c r="F1009" i="20" s="1"/>
  <c r="D1010" i="20" s="1"/>
  <c r="E1010" i="20" s="1"/>
  <c r="F1010" i="20" s="1"/>
  <c r="D1011" i="20" s="1"/>
  <c r="E1011" i="20" s="1"/>
  <c r="F1011" i="20" s="1"/>
  <c r="D1012" i="20" s="1"/>
  <c r="E1012" i="20" s="1"/>
  <c r="F1012" i="20" s="1"/>
  <c r="D1013" i="20" s="1"/>
  <c r="E1013" i="20" s="1"/>
  <c r="F1013" i="20" s="1"/>
  <c r="D1014" i="20" s="1"/>
  <c r="E1014" i="20" s="1"/>
  <c r="F1014" i="20" s="1"/>
  <c r="D1015" i="20" s="1"/>
  <c r="E1015" i="20" s="1"/>
  <c r="F1015" i="20" s="1"/>
  <c r="D1016" i="20" s="1"/>
  <c r="E1016" i="20" s="1"/>
  <c r="F1016" i="20" s="1"/>
  <c r="D1017" i="20" s="1"/>
  <c r="E1017" i="20" s="1"/>
  <c r="F1017" i="20" s="1"/>
  <c r="D1018" i="20" s="1"/>
  <c r="E1018" i="20" s="1"/>
  <c r="F1018" i="20" s="1"/>
  <c r="D1019" i="20" s="1"/>
  <c r="E1019" i="20" s="1"/>
  <c r="F1019" i="20" s="1"/>
  <c r="D1020" i="20" s="1"/>
  <c r="E1020" i="20" s="1"/>
  <c r="F1020" i="20" s="1"/>
  <c r="D1021" i="20" s="1"/>
  <c r="E1021" i="20" s="1"/>
  <c r="F1021" i="20" s="1"/>
  <c r="D1022" i="20" s="1"/>
  <c r="E1022" i="20" s="1"/>
  <c r="F1022" i="20" s="1"/>
  <c r="D1023" i="20" s="1"/>
  <c r="E1023" i="20" s="1"/>
  <c r="F1023" i="20" s="1"/>
  <c r="D1024" i="20" s="1"/>
  <c r="E1024" i="20" s="1"/>
  <c r="F1024" i="20" s="1"/>
  <c r="D1025" i="20" s="1"/>
  <c r="E1025" i="20" s="1"/>
  <c r="F1025" i="20" s="1"/>
  <c r="D1026" i="20" s="1"/>
  <c r="E1026" i="20" s="1"/>
  <c r="F1026" i="20" s="1"/>
  <c r="D1027" i="20" s="1"/>
  <c r="E1027" i="20" s="1"/>
  <c r="F1027" i="20" s="1"/>
  <c r="D1028" i="20" s="1"/>
  <c r="E1028" i="20" s="1"/>
  <c r="F1028" i="20" s="1"/>
  <c r="D1029" i="20" s="1"/>
  <c r="E1029" i="20" s="1"/>
  <c r="F1029" i="20" s="1"/>
  <c r="D1030" i="20" s="1"/>
  <c r="E1030" i="20" s="1"/>
  <c r="F1030" i="20" s="1"/>
  <c r="D1031" i="20" s="1"/>
  <c r="E1031" i="20" s="1"/>
  <c r="F1031" i="20" s="1"/>
  <c r="D1032" i="20" s="1"/>
  <c r="E1032" i="20" s="1"/>
  <c r="F1032" i="20" s="1"/>
  <c r="D1033" i="20" s="1"/>
  <c r="E1033" i="20" s="1"/>
  <c r="F1033" i="20" s="1"/>
  <c r="D1034" i="20" s="1"/>
  <c r="E1034" i="20" s="1"/>
  <c r="F1034" i="20" s="1"/>
  <c r="D1035" i="20" s="1"/>
  <c r="E1035" i="20" s="1"/>
  <c r="F1035" i="20" s="1"/>
  <c r="D1036" i="20" s="1"/>
  <c r="E1036" i="20" s="1"/>
  <c r="F1036" i="20" s="1"/>
  <c r="D1037" i="20" s="1"/>
  <c r="E1037" i="20" s="1"/>
  <c r="F1037" i="20" s="1"/>
  <c r="D1038" i="20" s="1"/>
  <c r="E1038" i="20" s="1"/>
  <c r="F1038" i="20" s="1"/>
  <c r="D1039" i="20" s="1"/>
  <c r="E1039" i="20" s="1"/>
  <c r="F1039" i="20" s="1"/>
  <c r="D1040" i="20" s="1"/>
  <c r="E1040" i="20" s="1"/>
  <c r="F1040" i="20" s="1"/>
  <c r="D1041" i="20" s="1"/>
  <c r="E1041" i="20" s="1"/>
  <c r="F1041" i="20" s="1"/>
  <c r="D1042" i="20" s="1"/>
  <c r="E1042" i="20" s="1"/>
  <c r="F1042" i="20" s="1"/>
  <c r="D1043" i="20" s="1"/>
  <c r="E1043" i="20" s="1"/>
  <c r="F1043" i="20" s="1"/>
  <c r="D1044" i="20" s="1"/>
  <c r="E1044" i="20" s="1"/>
  <c r="F1044" i="20" s="1"/>
  <c r="D1045" i="20" s="1"/>
  <c r="E1045" i="20" s="1"/>
  <c r="F1045" i="20" s="1"/>
  <c r="D1046" i="20" s="1"/>
  <c r="E1046" i="20" s="1"/>
  <c r="F1046" i="20" s="1"/>
  <c r="D1047" i="20" s="1"/>
  <c r="E1047" i="20" s="1"/>
  <c r="F1047" i="20" s="1"/>
  <c r="D1048" i="20" s="1"/>
  <c r="E1048" i="20" s="1"/>
  <c r="F1048" i="20" s="1"/>
  <c r="D1049" i="20" s="1"/>
  <c r="E1049" i="20" s="1"/>
  <c r="F1049" i="20" s="1"/>
  <c r="D1050" i="20" s="1"/>
  <c r="E1050" i="20" s="1"/>
  <c r="F1050" i="20" s="1"/>
  <c r="D1051" i="20" s="1"/>
  <c r="E1051" i="20" s="1"/>
  <c r="F1051" i="20" s="1"/>
  <c r="D1052" i="20" s="1"/>
  <c r="C998" i="20"/>
  <c r="C999" i="20" s="1"/>
  <c r="C1000" i="20" s="1"/>
  <c r="C1001" i="20" s="1"/>
  <c r="C1002" i="20" s="1"/>
  <c r="C1003" i="20" s="1"/>
  <c r="C1004" i="20" s="1"/>
  <c r="C1005" i="20" s="1"/>
  <c r="C1006" i="20" s="1"/>
  <c r="C1007" i="20" s="1"/>
  <c r="C1008" i="20" s="1"/>
  <c r="C1009" i="20" s="1"/>
  <c r="C1010" i="20" s="1"/>
  <c r="C1011" i="20" s="1"/>
  <c r="C1012" i="20" s="1"/>
  <c r="C1013" i="20" s="1"/>
  <c r="C1014" i="20" s="1"/>
  <c r="C1015" i="20" s="1"/>
  <c r="C1016" i="20" s="1"/>
  <c r="C1017" i="20" s="1"/>
  <c r="C1018" i="20" s="1"/>
  <c r="C1019" i="20" s="1"/>
  <c r="C1020" i="20" s="1"/>
  <c r="C1021" i="20" s="1"/>
  <c r="C1022" i="20" s="1"/>
  <c r="E785" i="20"/>
  <c r="E786" i="20" s="1"/>
  <c r="E1408" i="20"/>
  <c r="E1409" i="20" s="1"/>
  <c r="I367" i="20"/>
  <c r="E370" i="20" s="1"/>
  <c r="F370" i="20" s="1"/>
  <c r="D371" i="20" s="1"/>
  <c r="E371" i="20" s="1"/>
  <c r="F371" i="20" s="1"/>
  <c r="D372" i="20" s="1"/>
  <c r="E372" i="20" s="1"/>
  <c r="F372" i="20" s="1"/>
  <c r="D373" i="20" s="1"/>
  <c r="E373" i="20" s="1"/>
  <c r="F373" i="20" s="1"/>
  <c r="D374" i="20" s="1"/>
  <c r="E374" i="20" s="1"/>
  <c r="F374" i="20" s="1"/>
  <c r="D375" i="20" s="1"/>
  <c r="E375" i="20" s="1"/>
  <c r="F375" i="20" s="1"/>
  <c r="D376" i="20" s="1"/>
  <c r="E376" i="20" s="1"/>
  <c r="F376" i="20" s="1"/>
  <c r="D377" i="20" s="1"/>
  <c r="E377" i="20" s="1"/>
  <c r="F377" i="20" s="1"/>
  <c r="D378" i="20" s="1"/>
  <c r="E378" i="20" s="1"/>
  <c r="F378" i="20" s="1"/>
  <c r="D379" i="20" s="1"/>
  <c r="E379" i="20" s="1"/>
  <c r="F379" i="20" s="1"/>
  <c r="D380" i="20" s="1"/>
  <c r="E380" i="20" s="1"/>
  <c r="F380" i="20" s="1"/>
  <c r="D381" i="20" s="1"/>
  <c r="E381" i="20" s="1"/>
  <c r="F381" i="20" s="1"/>
  <c r="D382" i="20" s="1"/>
  <c r="E382" i="20" s="1"/>
  <c r="F382" i="20" s="1"/>
  <c r="D383" i="20" s="1"/>
  <c r="E383" i="20" s="1"/>
  <c r="F383" i="20" s="1"/>
  <c r="D384" i="20" s="1"/>
  <c r="E384" i="20" s="1"/>
  <c r="F384" i="20" s="1"/>
  <c r="D385" i="20" s="1"/>
  <c r="E385" i="20" s="1"/>
  <c r="F385" i="20" s="1"/>
  <c r="D386" i="20" s="1"/>
  <c r="E386" i="20" s="1"/>
  <c r="F386" i="20" s="1"/>
  <c r="D387" i="20" s="1"/>
  <c r="E387" i="20" s="1"/>
  <c r="F387" i="20" s="1"/>
  <c r="D388" i="20" s="1"/>
  <c r="E388" i="20" s="1"/>
  <c r="F388" i="20" s="1"/>
  <c r="D389" i="20" s="1"/>
  <c r="E389" i="20" s="1"/>
  <c r="F389" i="20" s="1"/>
  <c r="D390" i="20" s="1"/>
  <c r="E390" i="20" s="1"/>
  <c r="F390" i="20" s="1"/>
  <c r="D391" i="20" s="1"/>
  <c r="E391" i="20" s="1"/>
  <c r="F391" i="20" s="1"/>
  <c r="D392" i="20" s="1"/>
  <c r="E392" i="20" s="1"/>
  <c r="F392" i="20" s="1"/>
  <c r="D393" i="20" s="1"/>
  <c r="E393" i="20" s="1"/>
  <c r="F393" i="20" s="1"/>
  <c r="D394" i="20" s="1"/>
  <c r="E394" i="20" s="1"/>
  <c r="F394" i="20" s="1"/>
  <c r="D395" i="20" s="1"/>
  <c r="E395" i="20" s="1"/>
  <c r="F395" i="20" s="1"/>
  <c r="D396" i="20" s="1"/>
  <c r="E396" i="20" s="1"/>
  <c r="F396" i="20" s="1"/>
  <c r="D397" i="20" s="1"/>
  <c r="E397" i="20" s="1"/>
  <c r="F397" i="20" s="1"/>
  <c r="D398" i="20" s="1"/>
  <c r="E398" i="20" s="1"/>
  <c r="F398" i="20" s="1"/>
  <c r="D399" i="20" s="1"/>
  <c r="E399" i="20" s="1"/>
  <c r="F399" i="20" s="1"/>
  <c r="D400" i="20" s="1"/>
  <c r="E400" i="20" s="1"/>
  <c r="F400" i="20" s="1"/>
  <c r="D401" i="20" s="1"/>
  <c r="E401" i="20" s="1"/>
  <c r="F401" i="20" s="1"/>
  <c r="D402" i="20" s="1"/>
  <c r="E402" i="20" s="1"/>
  <c r="F402" i="20" s="1"/>
  <c r="D403" i="20" s="1"/>
  <c r="E403" i="20" s="1"/>
  <c r="F403" i="20" s="1"/>
  <c r="D404" i="20" s="1"/>
  <c r="E404" i="20" s="1"/>
  <c r="F404" i="20" s="1"/>
  <c r="D405" i="20" s="1"/>
  <c r="E405" i="20" s="1"/>
  <c r="F405" i="20" s="1"/>
  <c r="D406" i="20" s="1"/>
  <c r="E406" i="20" s="1"/>
  <c r="F406" i="20" s="1"/>
  <c r="D407" i="20" s="1"/>
  <c r="E407" i="20" s="1"/>
  <c r="F407" i="20" s="1"/>
  <c r="D408" i="20" s="1"/>
  <c r="E408" i="20" s="1"/>
  <c r="F408" i="20" s="1"/>
  <c r="D409" i="20" s="1"/>
  <c r="E409" i="20" s="1"/>
  <c r="F409" i="20" s="1"/>
  <c r="D410" i="20" s="1"/>
  <c r="E410" i="20" s="1"/>
  <c r="F410" i="20" s="1"/>
  <c r="D411" i="20" s="1"/>
  <c r="E411" i="20" s="1"/>
  <c r="F411" i="20" s="1"/>
  <c r="D412" i="20" s="1"/>
  <c r="E412" i="20" s="1"/>
  <c r="F412" i="20" s="1"/>
  <c r="D413" i="20" s="1"/>
  <c r="E413" i="20" s="1"/>
  <c r="F413" i="20" s="1"/>
  <c r="D414" i="20" s="1"/>
  <c r="E414" i="20" s="1"/>
  <c r="F414" i="20" s="1"/>
  <c r="D415" i="20" s="1"/>
  <c r="E415" i="20" s="1"/>
  <c r="F415" i="20" s="1"/>
  <c r="D416" i="20" s="1"/>
  <c r="E416" i="20" s="1"/>
  <c r="F416" i="20" s="1"/>
  <c r="D417" i="20" s="1"/>
  <c r="E417" i="20" s="1"/>
  <c r="F417" i="20" s="1"/>
  <c r="D418" i="20" s="1"/>
  <c r="E418" i="20" s="1"/>
  <c r="F418" i="20" s="1"/>
  <c r="D419" i="20" s="1"/>
  <c r="E419" i="20" s="1"/>
  <c r="F419" i="20" s="1"/>
  <c r="D420" i="20" s="1"/>
  <c r="E420" i="20" s="1"/>
  <c r="F420" i="20" s="1"/>
  <c r="D421" i="20" s="1"/>
  <c r="E421" i="20" s="1"/>
  <c r="F421" i="20" s="1"/>
  <c r="D422" i="20" s="1"/>
  <c r="E422" i="20" s="1"/>
  <c r="F422" i="20" s="1"/>
  <c r="D423" i="20" s="1"/>
  <c r="E423" i="20" s="1"/>
  <c r="F423" i="20" s="1"/>
  <c r="D424" i="20" s="1"/>
  <c r="E424" i="20" s="1"/>
  <c r="F424" i="20" s="1"/>
  <c r="D425" i="20" s="1"/>
  <c r="E425" i="20" s="1"/>
  <c r="F425" i="20" s="1"/>
  <c r="D426" i="20" s="1"/>
  <c r="E426" i="20" s="1"/>
  <c r="F426" i="20" s="1"/>
  <c r="D427" i="20" s="1"/>
  <c r="E427" i="20" s="1"/>
  <c r="F427" i="20" s="1"/>
  <c r="D428" i="20" s="1"/>
  <c r="E428" i="20" s="1"/>
  <c r="F428" i="20" s="1"/>
  <c r="D429" i="20" s="1"/>
  <c r="C375" i="20"/>
  <c r="C376" i="20" s="1"/>
  <c r="C377" i="20" s="1"/>
  <c r="C378" i="20" s="1"/>
  <c r="C379" i="20" s="1"/>
  <c r="C380" i="20" s="1"/>
  <c r="C381" i="20" s="1"/>
  <c r="C382" i="20" s="1"/>
  <c r="C383" i="20" s="1"/>
  <c r="C384" i="20" s="1"/>
  <c r="C385" i="20" s="1"/>
  <c r="C386" i="20" s="1"/>
  <c r="C387" i="20" s="1"/>
  <c r="C388" i="20" s="1"/>
  <c r="C389" i="20" s="1"/>
  <c r="C390" i="20" s="1"/>
  <c r="C391" i="20" s="1"/>
  <c r="C392" i="20" s="1"/>
  <c r="C393" i="20" s="1"/>
  <c r="C394" i="20" s="1"/>
  <c r="C395" i="20" s="1"/>
  <c r="C396" i="20" s="1"/>
  <c r="C397" i="20" s="1"/>
  <c r="C398" i="20" s="1"/>
  <c r="C399" i="20" s="1"/>
  <c r="C203" i="20"/>
  <c r="C204" i="20" s="1"/>
  <c r="C205" i="20" s="1"/>
  <c r="C206" i="20" s="1"/>
  <c r="C207" i="20" s="1"/>
  <c r="C208" i="20" s="1"/>
  <c r="C209" i="20" s="1"/>
  <c r="C210" i="20" s="1"/>
  <c r="C211" i="20" s="1"/>
  <c r="C212" i="20" s="1"/>
  <c r="C213" i="20" s="1"/>
  <c r="C214" i="20" s="1"/>
  <c r="C215" i="20" s="1"/>
  <c r="C216" i="20" s="1"/>
  <c r="C217" i="20" s="1"/>
  <c r="C218" i="20" s="1"/>
  <c r="C219" i="20" s="1"/>
  <c r="C220" i="20" s="1"/>
  <c r="C221" i="20" s="1"/>
  <c r="E194" i="20"/>
  <c r="F194" i="20" s="1"/>
  <c r="D195" i="20" s="1"/>
  <c r="E195" i="20" s="1"/>
  <c r="F195" i="20" s="1"/>
  <c r="D196" i="20" s="1"/>
  <c r="E196" i="20" s="1"/>
  <c r="F196" i="20" s="1"/>
  <c r="D197" i="20" s="1"/>
  <c r="E197" i="20" s="1"/>
  <c r="F197" i="20" s="1"/>
  <c r="D198" i="20" s="1"/>
  <c r="E198" i="20" s="1"/>
  <c r="F198" i="20" s="1"/>
  <c r="D199" i="20" s="1"/>
  <c r="E199" i="20" s="1"/>
  <c r="F199" i="20" s="1"/>
  <c r="D200" i="20" s="1"/>
  <c r="E200" i="20" s="1"/>
  <c r="F200" i="20" s="1"/>
  <c r="D201" i="20" s="1"/>
  <c r="E201" i="20" s="1"/>
  <c r="F201" i="20" s="1"/>
  <c r="D202" i="20" s="1"/>
  <c r="E202" i="20" s="1"/>
  <c r="F202" i="20" s="1"/>
  <c r="D203" i="20" s="1"/>
  <c r="E203" i="20" s="1"/>
  <c r="F203" i="20" s="1"/>
  <c r="D204" i="20" s="1"/>
  <c r="E204" i="20" s="1"/>
  <c r="F204" i="20" s="1"/>
  <c r="D205" i="20" s="1"/>
  <c r="E205" i="20" s="1"/>
  <c r="F205" i="20" s="1"/>
  <c r="D206" i="20" s="1"/>
  <c r="E206" i="20" s="1"/>
  <c r="F206" i="20" s="1"/>
  <c r="D207" i="20" s="1"/>
  <c r="E207" i="20" s="1"/>
  <c r="F207" i="20" s="1"/>
  <c r="D208" i="20" s="1"/>
  <c r="E208" i="20" s="1"/>
  <c r="F208" i="20" s="1"/>
  <c r="D209" i="20" s="1"/>
  <c r="E209" i="20" s="1"/>
  <c r="F209" i="20" s="1"/>
  <c r="D210" i="20" s="1"/>
  <c r="E210" i="20" s="1"/>
  <c r="F210" i="20" s="1"/>
  <c r="D211" i="20" s="1"/>
  <c r="E211" i="20" s="1"/>
  <c r="F211" i="20" s="1"/>
  <c r="D212" i="20" s="1"/>
  <c r="E212" i="20" s="1"/>
  <c r="F212" i="20" s="1"/>
  <c r="D213" i="20" s="1"/>
  <c r="E213" i="20" s="1"/>
  <c r="F213" i="20" s="1"/>
  <c r="D214" i="20" s="1"/>
  <c r="E214" i="20" s="1"/>
  <c r="F214" i="20" s="1"/>
  <c r="D215" i="20" s="1"/>
  <c r="E215" i="20" s="1"/>
  <c r="F215" i="20" s="1"/>
  <c r="D216" i="20" s="1"/>
  <c r="E216" i="20" s="1"/>
  <c r="F216" i="20" s="1"/>
  <c r="D217" i="20" s="1"/>
  <c r="E217" i="20" s="1"/>
  <c r="F217" i="20" s="1"/>
  <c r="D218" i="20" s="1"/>
  <c r="E218" i="20" s="1"/>
  <c r="F218" i="20" s="1"/>
  <c r="D219" i="20" s="1"/>
  <c r="E219" i="20" s="1"/>
  <c r="F219" i="20" s="1"/>
  <c r="D220" i="20" s="1"/>
  <c r="E220" i="20" s="1"/>
  <c r="F220" i="20" s="1"/>
  <c r="D221" i="20" s="1"/>
  <c r="E221" i="20" s="1"/>
  <c r="F221" i="20" s="1"/>
  <c r="D222" i="20" s="1"/>
  <c r="E222" i="20" s="1"/>
  <c r="F222" i="20" s="1"/>
  <c r="D223" i="20" s="1"/>
  <c r="E223" i="20" s="1"/>
  <c r="F223" i="20" s="1"/>
  <c r="D224" i="20" s="1"/>
  <c r="E224" i="20" s="1"/>
  <c r="F224" i="20" s="1"/>
  <c r="D225" i="20" s="1"/>
  <c r="E225" i="20" s="1"/>
  <c r="F225" i="20" s="1"/>
  <c r="D226" i="20" s="1"/>
  <c r="E226" i="20" s="1"/>
  <c r="F226" i="20" s="1"/>
  <c r="D227" i="20" s="1"/>
  <c r="E227" i="20" s="1"/>
  <c r="F227" i="20" s="1"/>
  <c r="D228" i="20" s="1"/>
  <c r="E228" i="20" s="1"/>
  <c r="F228" i="20" s="1"/>
  <c r="D229" i="20" s="1"/>
  <c r="E229" i="20" s="1"/>
  <c r="F229" i="20" s="1"/>
  <c r="D230" i="20" s="1"/>
  <c r="E230" i="20" s="1"/>
  <c r="F230" i="20" s="1"/>
  <c r="D231" i="20" s="1"/>
  <c r="E231" i="20" s="1"/>
  <c r="F231" i="20" s="1"/>
  <c r="D232" i="20" s="1"/>
  <c r="E232" i="20" s="1"/>
  <c r="F232" i="20" s="1"/>
  <c r="D233" i="20" s="1"/>
  <c r="E233" i="20" s="1"/>
  <c r="F233" i="20" s="1"/>
  <c r="D234" i="20" s="1"/>
  <c r="E234" i="20" s="1"/>
  <c r="F234" i="20" s="1"/>
  <c r="D235" i="20" s="1"/>
  <c r="E235" i="20" s="1"/>
  <c r="F235" i="20" s="1"/>
  <c r="D236" i="20" s="1"/>
  <c r="E236" i="20" s="1"/>
  <c r="F236" i="20" s="1"/>
  <c r="D237" i="20" s="1"/>
  <c r="E237" i="20" s="1"/>
  <c r="F237" i="20" s="1"/>
  <c r="D238" i="20" s="1"/>
  <c r="E238" i="20" s="1"/>
  <c r="F238" i="20" s="1"/>
  <c r="D239" i="20" s="1"/>
  <c r="E239" i="20" s="1"/>
  <c r="F239" i="20" s="1"/>
  <c r="D240" i="20" s="1"/>
  <c r="E240" i="20" s="1"/>
  <c r="F240" i="20" s="1"/>
  <c r="D241" i="20" s="1"/>
  <c r="E241" i="20" s="1"/>
  <c r="F241" i="20" s="1"/>
  <c r="D242" i="20" s="1"/>
  <c r="E242" i="20" s="1"/>
  <c r="F242" i="20" s="1"/>
  <c r="D243" i="20" s="1"/>
  <c r="E243" i="20" s="1"/>
  <c r="F243" i="20" s="1"/>
  <c r="D244" i="20" s="1"/>
  <c r="E244" i="20" s="1"/>
  <c r="F244" i="20" s="1"/>
  <c r="D245" i="20" s="1"/>
  <c r="E245" i="20" s="1"/>
  <c r="F245" i="20" s="1"/>
  <c r="D246" i="20" s="1"/>
  <c r="E246" i="20" s="1"/>
  <c r="F246" i="20" s="1"/>
  <c r="D247" i="20" s="1"/>
  <c r="E247" i="20" s="1"/>
  <c r="F247" i="20" s="1"/>
  <c r="D248" i="20" s="1"/>
  <c r="E248" i="20" s="1"/>
  <c r="F248" i="20" s="1"/>
  <c r="D249" i="20" s="1"/>
  <c r="E249" i="20" s="1"/>
  <c r="F249" i="20" s="1"/>
  <c r="D250" i="20" s="1"/>
  <c r="E250" i="20" s="1"/>
  <c r="F250" i="20" s="1"/>
  <c r="D251" i="20" s="1"/>
  <c r="E963" i="20"/>
  <c r="E964" i="20" s="1"/>
  <c r="E1230" i="20"/>
  <c r="E1231" i="20" s="1"/>
  <c r="C286" i="20"/>
  <c r="C287" i="20" s="1"/>
  <c r="C288" i="20" s="1"/>
  <c r="C289" i="20" s="1"/>
  <c r="C290" i="20" s="1"/>
  <c r="C291" i="20" s="1"/>
  <c r="C292" i="20" s="1"/>
  <c r="C293" i="20" s="1"/>
  <c r="C294" i="20" s="1"/>
  <c r="C295" i="20" s="1"/>
  <c r="C296" i="20" s="1"/>
  <c r="C297" i="20" s="1"/>
  <c r="C298" i="20" s="1"/>
  <c r="C299" i="20" s="1"/>
  <c r="C300" i="20" s="1"/>
  <c r="C301" i="20" s="1"/>
  <c r="C302" i="20" s="1"/>
  <c r="C303" i="20" s="1"/>
  <c r="C304" i="20" s="1"/>
  <c r="C305" i="20" s="1"/>
  <c r="C306" i="20" s="1"/>
  <c r="C307" i="20" s="1"/>
  <c r="C308" i="20" s="1"/>
  <c r="C309" i="20" s="1"/>
  <c r="C310" i="20" s="1"/>
  <c r="I278" i="20"/>
  <c r="E281" i="20" s="1"/>
  <c r="F281" i="20" s="1"/>
  <c r="D282" i="20" s="1"/>
  <c r="E282" i="20" s="1"/>
  <c r="F282" i="20" s="1"/>
  <c r="D283" i="20" s="1"/>
  <c r="E283" i="20" s="1"/>
  <c r="F283" i="20" s="1"/>
  <c r="D284" i="20" s="1"/>
  <c r="E284" i="20" s="1"/>
  <c r="F284" i="20" s="1"/>
  <c r="D285" i="20" s="1"/>
  <c r="E285" i="20" s="1"/>
  <c r="F285" i="20" s="1"/>
  <c r="D286" i="20" s="1"/>
  <c r="E286" i="20" s="1"/>
  <c r="F286" i="20" s="1"/>
  <c r="D287" i="20" s="1"/>
  <c r="E287" i="20" s="1"/>
  <c r="F287" i="20" s="1"/>
  <c r="D288" i="20" s="1"/>
  <c r="E288" i="20" s="1"/>
  <c r="F288" i="20" s="1"/>
  <c r="D289" i="20" s="1"/>
  <c r="E289" i="20" s="1"/>
  <c r="F289" i="20" s="1"/>
  <c r="D290" i="20" s="1"/>
  <c r="E290" i="20" s="1"/>
  <c r="F290" i="20" s="1"/>
  <c r="D291" i="20" s="1"/>
  <c r="E291" i="20" s="1"/>
  <c r="F291" i="20" s="1"/>
  <c r="D292" i="20" s="1"/>
  <c r="E292" i="20" s="1"/>
  <c r="F292" i="20" s="1"/>
  <c r="D293" i="20" s="1"/>
  <c r="E293" i="20" s="1"/>
  <c r="F293" i="20" s="1"/>
  <c r="D294" i="20" s="1"/>
  <c r="E294" i="20" s="1"/>
  <c r="F294" i="20" s="1"/>
  <c r="D295" i="20" s="1"/>
  <c r="E295" i="20" s="1"/>
  <c r="F295" i="20" s="1"/>
  <c r="D296" i="20" s="1"/>
  <c r="E296" i="20" s="1"/>
  <c r="F296" i="20" s="1"/>
  <c r="D297" i="20" s="1"/>
  <c r="E297" i="20" s="1"/>
  <c r="F297" i="20" s="1"/>
  <c r="D298" i="20" s="1"/>
  <c r="E298" i="20" s="1"/>
  <c r="F298" i="20" s="1"/>
  <c r="D299" i="20" s="1"/>
  <c r="E299" i="20" s="1"/>
  <c r="F299" i="20" s="1"/>
  <c r="D300" i="20" s="1"/>
  <c r="E300" i="20" s="1"/>
  <c r="F300" i="20" s="1"/>
  <c r="D301" i="20" s="1"/>
  <c r="E301" i="20" s="1"/>
  <c r="F301" i="20" s="1"/>
  <c r="D302" i="20" s="1"/>
  <c r="E302" i="20" s="1"/>
  <c r="F302" i="20" s="1"/>
  <c r="D303" i="20" s="1"/>
  <c r="E303" i="20" s="1"/>
  <c r="F303" i="20" s="1"/>
  <c r="D304" i="20" s="1"/>
  <c r="E304" i="20" s="1"/>
  <c r="F304" i="20" s="1"/>
  <c r="D305" i="20" s="1"/>
  <c r="E305" i="20" s="1"/>
  <c r="F305" i="20" s="1"/>
  <c r="D306" i="20" s="1"/>
  <c r="E306" i="20" s="1"/>
  <c r="F306" i="20" s="1"/>
  <c r="D307" i="20" s="1"/>
  <c r="E307" i="20" s="1"/>
  <c r="F307" i="20" s="1"/>
  <c r="D308" i="20" s="1"/>
  <c r="E308" i="20" s="1"/>
  <c r="F308" i="20" s="1"/>
  <c r="D309" i="20" s="1"/>
  <c r="E309" i="20" s="1"/>
  <c r="F309" i="20" s="1"/>
  <c r="D310" i="20" s="1"/>
  <c r="E310" i="20" s="1"/>
  <c r="F310" i="20" s="1"/>
  <c r="D311" i="20" s="1"/>
  <c r="E311" i="20" s="1"/>
  <c r="F311" i="20" s="1"/>
  <c r="D312" i="20" s="1"/>
  <c r="E312" i="20" s="1"/>
  <c r="F312" i="20" s="1"/>
  <c r="D313" i="20" s="1"/>
  <c r="E313" i="20" s="1"/>
  <c r="F313" i="20" s="1"/>
  <c r="D314" i="20" s="1"/>
  <c r="E314" i="20" s="1"/>
  <c r="F314" i="20" s="1"/>
  <c r="D315" i="20" s="1"/>
  <c r="E315" i="20" s="1"/>
  <c r="F315" i="20" s="1"/>
  <c r="D316" i="20" s="1"/>
  <c r="E316" i="20" s="1"/>
  <c r="F316" i="20" s="1"/>
  <c r="D317" i="20" s="1"/>
  <c r="E317" i="20" s="1"/>
  <c r="F317" i="20" s="1"/>
  <c r="D318" i="20" s="1"/>
  <c r="E318" i="20" s="1"/>
  <c r="F318" i="20" s="1"/>
  <c r="D319" i="20" s="1"/>
  <c r="E319" i="20" s="1"/>
  <c r="F319" i="20" s="1"/>
  <c r="D320" i="20" s="1"/>
  <c r="E320" i="20" s="1"/>
  <c r="F320" i="20" s="1"/>
  <c r="D321" i="20" s="1"/>
  <c r="E321" i="20" s="1"/>
  <c r="F321" i="20" s="1"/>
  <c r="D322" i="20" s="1"/>
  <c r="E322" i="20" s="1"/>
  <c r="F322" i="20" s="1"/>
  <c r="D323" i="20" s="1"/>
  <c r="E323" i="20" s="1"/>
  <c r="F323" i="20" s="1"/>
  <c r="D324" i="20" s="1"/>
  <c r="E324" i="20" s="1"/>
  <c r="F324" i="20" s="1"/>
  <c r="D325" i="20" s="1"/>
  <c r="E325" i="20" s="1"/>
  <c r="F325" i="20" s="1"/>
  <c r="D326" i="20" s="1"/>
  <c r="E326" i="20" s="1"/>
  <c r="F326" i="20" s="1"/>
  <c r="D327" i="20" s="1"/>
  <c r="E327" i="20" s="1"/>
  <c r="F327" i="20" s="1"/>
  <c r="D328" i="20" s="1"/>
  <c r="E328" i="20" s="1"/>
  <c r="F328" i="20" s="1"/>
  <c r="D329" i="20" s="1"/>
  <c r="E329" i="20" s="1"/>
  <c r="F329" i="20" s="1"/>
  <c r="D330" i="20" s="1"/>
  <c r="E330" i="20" s="1"/>
  <c r="F330" i="20" s="1"/>
  <c r="D331" i="20" s="1"/>
  <c r="E331" i="20" s="1"/>
  <c r="F331" i="20" s="1"/>
  <c r="D332" i="20" s="1"/>
  <c r="E332" i="20" s="1"/>
  <c r="F332" i="20" s="1"/>
  <c r="D333" i="20" s="1"/>
  <c r="E333" i="20" s="1"/>
  <c r="F333" i="20" s="1"/>
  <c r="D334" i="20" s="1"/>
  <c r="E334" i="20" s="1"/>
  <c r="F334" i="20" s="1"/>
  <c r="D335" i="20" s="1"/>
  <c r="E335" i="20" s="1"/>
  <c r="F335" i="20" s="1"/>
  <c r="D336" i="20" s="1"/>
  <c r="E336" i="20" s="1"/>
  <c r="F336" i="20" s="1"/>
  <c r="D337" i="20" s="1"/>
  <c r="E337" i="20" s="1"/>
  <c r="F337" i="20" s="1"/>
  <c r="D338" i="20" s="1"/>
  <c r="E338" i="20" s="1"/>
  <c r="F338" i="20" s="1"/>
  <c r="D339" i="20" s="1"/>
  <c r="E339" i="20" s="1"/>
  <c r="F339" i="20" s="1"/>
  <c r="D340" i="20" s="1"/>
  <c r="E104" i="20"/>
  <c r="F104" i="20" s="1"/>
  <c r="D105" i="20" s="1"/>
  <c r="E105" i="20" s="1"/>
  <c r="F105" i="20" s="1"/>
  <c r="D106" i="20" s="1"/>
  <c r="E106" i="20" s="1"/>
  <c r="F106" i="20" s="1"/>
  <c r="D107" i="20" s="1"/>
  <c r="C113" i="20"/>
  <c r="C114" i="20" s="1"/>
  <c r="C115" i="20" s="1"/>
  <c r="F1527" i="20"/>
  <c r="D1528" i="20" s="1"/>
  <c r="E607" i="20"/>
  <c r="E608" i="20" s="1"/>
  <c r="I812" i="20"/>
  <c r="E815" i="20" s="1"/>
  <c r="F815" i="20" s="1"/>
  <c r="D816" i="20" s="1"/>
  <c r="E816" i="20" s="1"/>
  <c r="F816" i="20" s="1"/>
  <c r="D817" i="20" s="1"/>
  <c r="E817" i="20" s="1"/>
  <c r="F817" i="20" s="1"/>
  <c r="D818" i="20" s="1"/>
  <c r="E818" i="20" s="1"/>
  <c r="F818" i="20" s="1"/>
  <c r="D819" i="20" s="1"/>
  <c r="E819" i="20" s="1"/>
  <c r="F819" i="20" s="1"/>
  <c r="D820" i="20" s="1"/>
  <c r="E820" i="20" s="1"/>
  <c r="F820" i="20" s="1"/>
  <c r="D821" i="20" s="1"/>
  <c r="E821" i="20" s="1"/>
  <c r="F821" i="20" s="1"/>
  <c r="D822" i="20" s="1"/>
  <c r="E822" i="20" s="1"/>
  <c r="F822" i="20" s="1"/>
  <c r="D823" i="20" s="1"/>
  <c r="E823" i="20" s="1"/>
  <c r="F823" i="20" s="1"/>
  <c r="D824" i="20" s="1"/>
  <c r="E824" i="20" s="1"/>
  <c r="F824" i="20" s="1"/>
  <c r="D825" i="20" s="1"/>
  <c r="E825" i="20" s="1"/>
  <c r="F825" i="20" s="1"/>
  <c r="D826" i="20" s="1"/>
  <c r="E826" i="20" s="1"/>
  <c r="F826" i="20" s="1"/>
  <c r="D827" i="20" s="1"/>
  <c r="E827" i="20" s="1"/>
  <c r="F827" i="20" s="1"/>
  <c r="D828" i="20" s="1"/>
  <c r="E828" i="20" s="1"/>
  <c r="F828" i="20" s="1"/>
  <c r="D829" i="20" s="1"/>
  <c r="E829" i="20" s="1"/>
  <c r="F829" i="20" s="1"/>
  <c r="D830" i="20" s="1"/>
  <c r="E830" i="20" s="1"/>
  <c r="F830" i="20" s="1"/>
  <c r="D831" i="20" s="1"/>
  <c r="E831" i="20" s="1"/>
  <c r="F831" i="20" s="1"/>
  <c r="D832" i="20" s="1"/>
  <c r="E832" i="20" s="1"/>
  <c r="F832" i="20" s="1"/>
  <c r="D833" i="20" s="1"/>
  <c r="E833" i="20" s="1"/>
  <c r="F833" i="20" s="1"/>
  <c r="D834" i="20" s="1"/>
  <c r="E834" i="20" s="1"/>
  <c r="F834" i="20" s="1"/>
  <c r="D835" i="20" s="1"/>
  <c r="E835" i="20" s="1"/>
  <c r="F835" i="20" s="1"/>
  <c r="D836" i="20" s="1"/>
  <c r="E836" i="20" s="1"/>
  <c r="F836" i="20" s="1"/>
  <c r="D837" i="20" s="1"/>
  <c r="E837" i="20" s="1"/>
  <c r="F837" i="20" s="1"/>
  <c r="D838" i="20" s="1"/>
  <c r="E838" i="20" s="1"/>
  <c r="F838" i="20" s="1"/>
  <c r="D839" i="20" s="1"/>
  <c r="E839" i="20" s="1"/>
  <c r="F839" i="20" s="1"/>
  <c r="D840" i="20" s="1"/>
  <c r="E840" i="20" s="1"/>
  <c r="F840" i="20" s="1"/>
  <c r="D841" i="20" s="1"/>
  <c r="E841" i="20" s="1"/>
  <c r="F841" i="20" s="1"/>
  <c r="D842" i="20" s="1"/>
  <c r="E842" i="20" s="1"/>
  <c r="F842" i="20" s="1"/>
  <c r="D843" i="20" s="1"/>
  <c r="E843" i="20" s="1"/>
  <c r="F843" i="20" s="1"/>
  <c r="D844" i="20" s="1"/>
  <c r="E844" i="20" s="1"/>
  <c r="F844" i="20" s="1"/>
  <c r="D845" i="20" s="1"/>
  <c r="E845" i="20" s="1"/>
  <c r="F845" i="20" s="1"/>
  <c r="D846" i="20" s="1"/>
  <c r="E846" i="20" s="1"/>
  <c r="F846" i="20" s="1"/>
  <c r="D847" i="20" s="1"/>
  <c r="E847" i="20" s="1"/>
  <c r="F847" i="20" s="1"/>
  <c r="D848" i="20" s="1"/>
  <c r="E848" i="20" s="1"/>
  <c r="F848" i="20" s="1"/>
  <c r="D849" i="20" s="1"/>
  <c r="E849" i="20" s="1"/>
  <c r="F849" i="20" s="1"/>
  <c r="D850" i="20" s="1"/>
  <c r="E850" i="20" s="1"/>
  <c r="F850" i="20" s="1"/>
  <c r="D851" i="20" s="1"/>
  <c r="E851" i="20" s="1"/>
  <c r="F851" i="20" s="1"/>
  <c r="D852" i="20" s="1"/>
  <c r="E852" i="20" s="1"/>
  <c r="F852" i="20" s="1"/>
  <c r="D853" i="20" s="1"/>
  <c r="E853" i="20" s="1"/>
  <c r="F853" i="20" s="1"/>
  <c r="D854" i="20" s="1"/>
  <c r="E854" i="20" s="1"/>
  <c r="F854" i="20" s="1"/>
  <c r="D855" i="20" s="1"/>
  <c r="E855" i="20" s="1"/>
  <c r="F855" i="20" s="1"/>
  <c r="D856" i="20" s="1"/>
  <c r="E856" i="20" s="1"/>
  <c r="F856" i="20" s="1"/>
  <c r="D857" i="20" s="1"/>
  <c r="E857" i="20" s="1"/>
  <c r="F857" i="20" s="1"/>
  <c r="D858" i="20" s="1"/>
  <c r="E858" i="20" s="1"/>
  <c r="F858" i="20" s="1"/>
  <c r="D859" i="20" s="1"/>
  <c r="E859" i="20" s="1"/>
  <c r="F859" i="20" s="1"/>
  <c r="D860" i="20" s="1"/>
  <c r="E860" i="20" s="1"/>
  <c r="F860" i="20" s="1"/>
  <c r="D861" i="20" s="1"/>
  <c r="E861" i="20" s="1"/>
  <c r="F861" i="20" s="1"/>
  <c r="D862" i="20" s="1"/>
  <c r="E862" i="20" s="1"/>
  <c r="F862" i="20" s="1"/>
  <c r="D863" i="20" s="1"/>
  <c r="E863" i="20" s="1"/>
  <c r="F863" i="20" s="1"/>
  <c r="D864" i="20" s="1"/>
  <c r="E864" i="20" s="1"/>
  <c r="F864" i="20" s="1"/>
  <c r="D865" i="20" s="1"/>
  <c r="E865" i="20" s="1"/>
  <c r="F865" i="20" s="1"/>
  <c r="D866" i="20" s="1"/>
  <c r="E866" i="20" s="1"/>
  <c r="F866" i="20" s="1"/>
  <c r="D867" i="20" s="1"/>
  <c r="E867" i="20" s="1"/>
  <c r="F867" i="20" s="1"/>
  <c r="D868" i="20" s="1"/>
  <c r="E868" i="20" s="1"/>
  <c r="F868" i="20" s="1"/>
  <c r="D869" i="20" s="1"/>
  <c r="E869" i="20" s="1"/>
  <c r="F869" i="20" s="1"/>
  <c r="D870" i="20" s="1"/>
  <c r="E870" i="20" s="1"/>
  <c r="F870" i="20" s="1"/>
  <c r="D871" i="20" s="1"/>
  <c r="E871" i="20" s="1"/>
  <c r="F871" i="20" s="1"/>
  <c r="D872" i="20" s="1"/>
  <c r="E872" i="20" s="1"/>
  <c r="F872" i="20" s="1"/>
  <c r="D873" i="20" s="1"/>
  <c r="E873" i="20" s="1"/>
  <c r="F873" i="20" s="1"/>
  <c r="D874" i="20" s="1"/>
  <c r="C820" i="20"/>
  <c r="C821" i="20" s="1"/>
  <c r="C822" i="20" s="1"/>
  <c r="C823" i="20" s="1"/>
  <c r="C824" i="20" s="1"/>
  <c r="C825" i="20" s="1"/>
  <c r="C826" i="20" s="1"/>
  <c r="C827" i="20" s="1"/>
  <c r="C828" i="20" s="1"/>
  <c r="C829" i="20" s="1"/>
  <c r="C830" i="20" s="1"/>
  <c r="C831" i="20" s="1"/>
  <c r="C832" i="20" s="1"/>
  <c r="C833" i="20" s="1"/>
  <c r="C834" i="20" s="1"/>
  <c r="C835" i="20" s="1"/>
  <c r="C836" i="20" s="1"/>
  <c r="C837" i="20" s="1"/>
  <c r="C838" i="20" s="1"/>
  <c r="C839" i="20" s="1"/>
  <c r="C840" i="20" s="1"/>
  <c r="C841" i="20" s="1"/>
  <c r="C842" i="20" s="1"/>
  <c r="C843" i="20" s="1"/>
  <c r="C844" i="20" s="1"/>
  <c r="E696" i="20"/>
  <c r="E697" i="20" s="1"/>
  <c r="I1079" i="20"/>
  <c r="E1082" i="20" s="1"/>
  <c r="F1082" i="20" s="1"/>
  <c r="D1083" i="20" s="1"/>
  <c r="E1083" i="20" s="1"/>
  <c r="F1083" i="20" s="1"/>
  <c r="D1084" i="20" s="1"/>
  <c r="E1084" i="20" s="1"/>
  <c r="F1084" i="20" s="1"/>
  <c r="D1085" i="20" s="1"/>
  <c r="E1085" i="20" s="1"/>
  <c r="F1085" i="20" s="1"/>
  <c r="D1086" i="20" s="1"/>
  <c r="E1086" i="20" s="1"/>
  <c r="F1086" i="20" s="1"/>
  <c r="D1087" i="20" s="1"/>
  <c r="E1087" i="20" s="1"/>
  <c r="F1087" i="20" s="1"/>
  <c r="D1088" i="20" s="1"/>
  <c r="E1088" i="20" s="1"/>
  <c r="F1088" i="20" s="1"/>
  <c r="D1089" i="20" s="1"/>
  <c r="E1089" i="20" s="1"/>
  <c r="F1089" i="20" s="1"/>
  <c r="D1090" i="20" s="1"/>
  <c r="E1090" i="20" s="1"/>
  <c r="F1090" i="20" s="1"/>
  <c r="D1091" i="20" s="1"/>
  <c r="E1091" i="20" s="1"/>
  <c r="F1091" i="20" s="1"/>
  <c r="D1092" i="20" s="1"/>
  <c r="E1092" i="20" s="1"/>
  <c r="F1092" i="20" s="1"/>
  <c r="D1093" i="20" s="1"/>
  <c r="E1093" i="20" s="1"/>
  <c r="F1093" i="20" s="1"/>
  <c r="D1094" i="20" s="1"/>
  <c r="E1094" i="20" s="1"/>
  <c r="F1094" i="20" s="1"/>
  <c r="D1095" i="20" s="1"/>
  <c r="E1095" i="20" s="1"/>
  <c r="F1095" i="20" s="1"/>
  <c r="D1096" i="20" s="1"/>
  <c r="E1096" i="20" s="1"/>
  <c r="F1096" i="20" s="1"/>
  <c r="D1097" i="20" s="1"/>
  <c r="E1097" i="20" s="1"/>
  <c r="F1097" i="20" s="1"/>
  <c r="D1098" i="20" s="1"/>
  <c r="E1098" i="20" s="1"/>
  <c r="F1098" i="20" s="1"/>
  <c r="D1099" i="20" s="1"/>
  <c r="E1099" i="20" s="1"/>
  <c r="F1099" i="20" s="1"/>
  <c r="D1100" i="20" s="1"/>
  <c r="E1100" i="20" s="1"/>
  <c r="F1100" i="20" s="1"/>
  <c r="D1101" i="20" s="1"/>
  <c r="E1101" i="20" s="1"/>
  <c r="F1101" i="20" s="1"/>
  <c r="D1102" i="20" s="1"/>
  <c r="E1102" i="20" s="1"/>
  <c r="F1102" i="20" s="1"/>
  <c r="D1103" i="20" s="1"/>
  <c r="E1103" i="20" s="1"/>
  <c r="F1103" i="20" s="1"/>
  <c r="D1104" i="20" s="1"/>
  <c r="E1104" i="20" s="1"/>
  <c r="F1104" i="20" s="1"/>
  <c r="D1105" i="20" s="1"/>
  <c r="E1105" i="20" s="1"/>
  <c r="F1105" i="20" s="1"/>
  <c r="D1106" i="20" s="1"/>
  <c r="E1106" i="20" s="1"/>
  <c r="F1106" i="20" s="1"/>
  <c r="D1107" i="20" s="1"/>
  <c r="E1107" i="20" s="1"/>
  <c r="F1107" i="20" s="1"/>
  <c r="D1108" i="20" s="1"/>
  <c r="E1108" i="20" s="1"/>
  <c r="F1108" i="20" s="1"/>
  <c r="D1109" i="20" s="1"/>
  <c r="E1109" i="20" s="1"/>
  <c r="F1109" i="20" s="1"/>
  <c r="D1110" i="20" s="1"/>
  <c r="E1110" i="20" s="1"/>
  <c r="F1110" i="20" s="1"/>
  <c r="D1111" i="20" s="1"/>
  <c r="E1111" i="20" s="1"/>
  <c r="F1111" i="20" s="1"/>
  <c r="D1112" i="20" s="1"/>
  <c r="E1112" i="20" s="1"/>
  <c r="F1112" i="20" s="1"/>
  <c r="D1113" i="20" s="1"/>
  <c r="E1113" i="20" s="1"/>
  <c r="F1113" i="20" s="1"/>
  <c r="D1114" i="20" s="1"/>
  <c r="E1114" i="20" s="1"/>
  <c r="F1114" i="20" s="1"/>
  <c r="D1115" i="20" s="1"/>
  <c r="E1115" i="20" s="1"/>
  <c r="F1115" i="20" s="1"/>
  <c r="D1116" i="20" s="1"/>
  <c r="E1116" i="20" s="1"/>
  <c r="F1116" i="20" s="1"/>
  <c r="D1117" i="20" s="1"/>
  <c r="E1117" i="20" s="1"/>
  <c r="F1117" i="20" s="1"/>
  <c r="D1118" i="20" s="1"/>
  <c r="E1118" i="20" s="1"/>
  <c r="F1118" i="20" s="1"/>
  <c r="D1119" i="20" s="1"/>
  <c r="E1119" i="20" s="1"/>
  <c r="F1119" i="20" s="1"/>
  <c r="D1120" i="20" s="1"/>
  <c r="E1120" i="20" s="1"/>
  <c r="F1120" i="20" s="1"/>
  <c r="D1121" i="20" s="1"/>
  <c r="E1121" i="20" s="1"/>
  <c r="F1121" i="20" s="1"/>
  <c r="D1122" i="20" s="1"/>
  <c r="E1122" i="20" s="1"/>
  <c r="F1122" i="20" s="1"/>
  <c r="D1123" i="20" s="1"/>
  <c r="E1123" i="20" s="1"/>
  <c r="F1123" i="20" s="1"/>
  <c r="D1124" i="20" s="1"/>
  <c r="E1124" i="20" s="1"/>
  <c r="F1124" i="20" s="1"/>
  <c r="D1125" i="20" s="1"/>
  <c r="E1125" i="20" s="1"/>
  <c r="F1125" i="20" s="1"/>
  <c r="D1126" i="20" s="1"/>
  <c r="E1126" i="20" s="1"/>
  <c r="F1126" i="20" s="1"/>
  <c r="D1127" i="20" s="1"/>
  <c r="E1127" i="20" s="1"/>
  <c r="F1127" i="20" s="1"/>
  <c r="D1128" i="20" s="1"/>
  <c r="E1128" i="20" s="1"/>
  <c r="F1128" i="20" s="1"/>
  <c r="D1129" i="20" s="1"/>
  <c r="E1129" i="20" s="1"/>
  <c r="F1129" i="20" s="1"/>
  <c r="D1130" i="20" s="1"/>
  <c r="E1130" i="20" s="1"/>
  <c r="F1130" i="20" s="1"/>
  <c r="D1131" i="20" s="1"/>
  <c r="E1131" i="20" s="1"/>
  <c r="F1131" i="20" s="1"/>
  <c r="D1132" i="20" s="1"/>
  <c r="E1132" i="20" s="1"/>
  <c r="F1132" i="20" s="1"/>
  <c r="D1133" i="20" s="1"/>
  <c r="E1133" i="20" s="1"/>
  <c r="F1133" i="20" s="1"/>
  <c r="D1134" i="20" s="1"/>
  <c r="E1134" i="20" s="1"/>
  <c r="F1134" i="20" s="1"/>
  <c r="D1135" i="20" s="1"/>
  <c r="E1135" i="20" s="1"/>
  <c r="F1135" i="20" s="1"/>
  <c r="D1136" i="20" s="1"/>
  <c r="E1136" i="20" s="1"/>
  <c r="F1136" i="20" s="1"/>
  <c r="D1137" i="20" s="1"/>
  <c r="E1137" i="20" s="1"/>
  <c r="F1137" i="20" s="1"/>
  <c r="D1138" i="20" s="1"/>
  <c r="E1138" i="20" s="1"/>
  <c r="F1138" i="20" s="1"/>
  <c r="D1139" i="20" s="1"/>
  <c r="E1139" i="20" s="1"/>
  <c r="F1139" i="20" s="1"/>
  <c r="D1140" i="20" s="1"/>
  <c r="E1140" i="20" s="1"/>
  <c r="F1140" i="20" s="1"/>
  <c r="D1141" i="20" s="1"/>
  <c r="C1087" i="20"/>
  <c r="C1088" i="20" s="1"/>
  <c r="C1089" i="20" s="1"/>
  <c r="C1090" i="20" s="1"/>
  <c r="C1091" i="20" s="1"/>
  <c r="C1092" i="20" s="1"/>
  <c r="C1093" i="20" s="1"/>
  <c r="C1094" i="20" s="1"/>
  <c r="C1095" i="20" s="1"/>
  <c r="C1096" i="20" s="1"/>
  <c r="C1097" i="20" s="1"/>
  <c r="C1098" i="20" s="1"/>
  <c r="C1099" i="20" s="1"/>
  <c r="C1100" i="20" s="1"/>
  <c r="C1101" i="20" s="1"/>
  <c r="C1102" i="20" s="1"/>
  <c r="C1103" i="20" s="1"/>
  <c r="C1104" i="20" s="1"/>
  <c r="C1105" i="20" s="1"/>
  <c r="C1106" i="20" s="1"/>
  <c r="C1107" i="20" s="1"/>
  <c r="C1108" i="20" s="1"/>
  <c r="C1109" i="20" s="1"/>
  <c r="C1110" i="20" s="1"/>
  <c r="C1111" i="20" s="1"/>
  <c r="E1319" i="20"/>
  <c r="E1320" i="20" s="1"/>
  <c r="E518" i="20"/>
  <c r="E519" i="20" s="1"/>
  <c r="F1438" i="20"/>
  <c r="D1439" i="20" s="1"/>
  <c r="F696" i="20" l="1"/>
  <c r="F607" i="20"/>
  <c r="F1230" i="20"/>
  <c r="F963" i="20"/>
  <c r="E1141" i="20"/>
  <c r="E1142" i="20" s="1"/>
  <c r="C845" i="20"/>
  <c r="C846" i="20" s="1"/>
  <c r="C847" i="20" s="1"/>
  <c r="C848" i="20" s="1"/>
  <c r="C849" i="20" s="1"/>
  <c r="C850" i="20" s="1"/>
  <c r="C851" i="20" s="1"/>
  <c r="C852" i="20" s="1"/>
  <c r="C853" i="20" s="1"/>
  <c r="C854" i="20" s="1"/>
  <c r="C855" i="20" s="1"/>
  <c r="C856" i="20" s="1"/>
  <c r="C857" i="20" s="1"/>
  <c r="C858" i="20" s="1"/>
  <c r="C859" i="20" s="1"/>
  <c r="C860" i="20" s="1"/>
  <c r="C861" i="20" s="1"/>
  <c r="C862" i="20" s="1"/>
  <c r="C863" i="20" s="1"/>
  <c r="C864" i="20" s="1"/>
  <c r="C865" i="20" s="1"/>
  <c r="C866" i="20" s="1"/>
  <c r="C867" i="20" s="1"/>
  <c r="C868" i="20" s="1"/>
  <c r="C869" i="20" s="1"/>
  <c r="C870" i="20" s="1"/>
  <c r="C871" i="20" s="1"/>
  <c r="C872" i="20" s="1"/>
  <c r="C873" i="20" s="1"/>
  <c r="C874" i="20" s="1"/>
  <c r="C222" i="20"/>
  <c r="C223" i="20" s="1"/>
  <c r="C224" i="20" s="1"/>
  <c r="C225" i="20" s="1"/>
  <c r="C226" i="20" s="1"/>
  <c r="C227" i="20" s="1"/>
  <c r="C228" i="20" s="1"/>
  <c r="C229" i="20" s="1"/>
  <c r="C230" i="20" s="1"/>
  <c r="C231" i="20" s="1"/>
  <c r="C232" i="20" s="1"/>
  <c r="C233" i="20" s="1"/>
  <c r="C234" i="20" s="1"/>
  <c r="C235" i="20" s="1"/>
  <c r="C236" i="20" s="1"/>
  <c r="C237" i="20" s="1"/>
  <c r="C238" i="20" s="1"/>
  <c r="C239" i="20" s="1"/>
  <c r="C240" i="20" s="1"/>
  <c r="C241" i="20" s="1"/>
  <c r="C242" i="20" s="1"/>
  <c r="C243" i="20" s="1"/>
  <c r="C244" i="20" s="1"/>
  <c r="C245" i="20" s="1"/>
  <c r="C246" i="20" s="1"/>
  <c r="C247" i="20" s="1"/>
  <c r="C248" i="20" s="1"/>
  <c r="C249" i="20" s="1"/>
  <c r="C250" i="20" s="1"/>
  <c r="C251" i="20" s="1"/>
  <c r="F1319" i="20"/>
  <c r="C1112" i="20"/>
  <c r="C1113" i="20" s="1"/>
  <c r="C1114" i="20" s="1"/>
  <c r="C1115" i="20" s="1"/>
  <c r="C1116" i="20" s="1"/>
  <c r="C1117" i="20" s="1"/>
  <c r="C1118" i="20" s="1"/>
  <c r="C1119" i="20" s="1"/>
  <c r="C1120" i="20" s="1"/>
  <c r="C1121" i="20" s="1"/>
  <c r="C1122" i="20" s="1"/>
  <c r="C1123" i="20" s="1"/>
  <c r="C1124" i="20" s="1"/>
  <c r="C1125" i="20" s="1"/>
  <c r="C1126" i="20" s="1"/>
  <c r="C1127" i="20" s="1"/>
  <c r="C1128" i="20" s="1"/>
  <c r="C1129" i="20" s="1"/>
  <c r="C1130" i="20" s="1"/>
  <c r="C1131" i="20" s="1"/>
  <c r="C1132" i="20" s="1"/>
  <c r="C1133" i="20" s="1"/>
  <c r="C1134" i="20" s="1"/>
  <c r="C1135" i="20" s="1"/>
  <c r="C1136" i="20" s="1"/>
  <c r="C1137" i="20" s="1"/>
  <c r="C1138" i="20" s="1"/>
  <c r="C1139" i="20" s="1"/>
  <c r="C1140" i="20" s="1"/>
  <c r="C1141" i="20" s="1"/>
  <c r="E429" i="20"/>
  <c r="E430" i="20" s="1"/>
  <c r="F1408" i="20"/>
  <c r="E251" i="20"/>
  <c r="E252" i="20" s="1"/>
  <c r="E1439" i="20"/>
  <c r="F1439" i="20" s="1"/>
  <c r="D1440" i="20" s="1"/>
  <c r="E1528" i="20"/>
  <c r="F1528" i="20" s="1"/>
  <c r="D1529" i="20" s="1"/>
  <c r="C311" i="20"/>
  <c r="C312" i="20" s="1"/>
  <c r="C313" i="20" s="1"/>
  <c r="C314" i="20" s="1"/>
  <c r="C315" i="20" s="1"/>
  <c r="C316" i="20" s="1"/>
  <c r="C317" i="20" s="1"/>
  <c r="C318" i="20" s="1"/>
  <c r="C319" i="20" s="1"/>
  <c r="C320" i="20" s="1"/>
  <c r="C321" i="20" s="1"/>
  <c r="C322" i="20" s="1"/>
  <c r="C323" i="20" s="1"/>
  <c r="C324" i="20" s="1"/>
  <c r="C325" i="20" s="1"/>
  <c r="C326" i="20" s="1"/>
  <c r="C327" i="20" s="1"/>
  <c r="C328" i="20" s="1"/>
  <c r="C329" i="20" s="1"/>
  <c r="C330" i="20" s="1"/>
  <c r="C331" i="20" s="1"/>
  <c r="C332" i="20" s="1"/>
  <c r="C333" i="20" s="1"/>
  <c r="C334" i="20" s="1"/>
  <c r="C335" i="20" s="1"/>
  <c r="C336" i="20" s="1"/>
  <c r="C337" i="20" s="1"/>
  <c r="C338" i="20" s="1"/>
  <c r="C339" i="20" s="1"/>
  <c r="C340" i="20" s="1"/>
  <c r="C400" i="20"/>
  <c r="C401" i="20" s="1"/>
  <c r="C402" i="20" s="1"/>
  <c r="C403" i="20" s="1"/>
  <c r="C404" i="20" s="1"/>
  <c r="C405" i="20" s="1"/>
  <c r="C406" i="20" s="1"/>
  <c r="C407" i="20" s="1"/>
  <c r="C408" i="20" s="1"/>
  <c r="C409" i="20" s="1"/>
  <c r="C410" i="20" s="1"/>
  <c r="C411" i="20" s="1"/>
  <c r="C412" i="20" s="1"/>
  <c r="C413" i="20" s="1"/>
  <c r="C414" i="20" s="1"/>
  <c r="C415" i="20" s="1"/>
  <c r="C416" i="20" s="1"/>
  <c r="C417" i="20" s="1"/>
  <c r="C418" i="20" s="1"/>
  <c r="C419" i="20" s="1"/>
  <c r="C420" i="20" s="1"/>
  <c r="C421" i="20" s="1"/>
  <c r="C422" i="20" s="1"/>
  <c r="C423" i="20" s="1"/>
  <c r="C424" i="20" s="1"/>
  <c r="C425" i="20" s="1"/>
  <c r="C426" i="20" s="1"/>
  <c r="C427" i="20" s="1"/>
  <c r="C428" i="20" s="1"/>
  <c r="C429" i="20" s="1"/>
  <c r="F518" i="20"/>
  <c r="F785" i="20"/>
  <c r="E874" i="20"/>
  <c r="E875" i="20" s="1"/>
  <c r="C116" i="20"/>
  <c r="C117" i="20" s="1"/>
  <c r="C118" i="20" s="1"/>
  <c r="C119" i="20" s="1"/>
  <c r="C120" i="20" s="1"/>
  <c r="C121" i="20" s="1"/>
  <c r="C122" i="20" s="1"/>
  <c r="C123" i="20" s="1"/>
  <c r="C124" i="20" s="1"/>
  <c r="C125" i="20" s="1"/>
  <c r="C126" i="20" s="1"/>
  <c r="C127" i="20" s="1"/>
  <c r="C128" i="20" s="1"/>
  <c r="C129" i="20" s="1"/>
  <c r="C130" i="20" s="1"/>
  <c r="C131" i="20" s="1"/>
  <c r="E107" i="20"/>
  <c r="F107" i="20" s="1"/>
  <c r="D108" i="20" s="1"/>
  <c r="E108" i="20" s="1"/>
  <c r="F108" i="20" s="1"/>
  <c r="D109" i="20" s="1"/>
  <c r="E109" i="20" s="1"/>
  <c r="F109" i="20" s="1"/>
  <c r="D110" i="20" s="1"/>
  <c r="E110" i="20" s="1"/>
  <c r="F110" i="20" s="1"/>
  <c r="D111" i="20" s="1"/>
  <c r="E111" i="20" s="1"/>
  <c r="F111" i="20" s="1"/>
  <c r="D112" i="20" s="1"/>
  <c r="E112" i="20" s="1"/>
  <c r="F112" i="20" s="1"/>
  <c r="D113" i="20" s="1"/>
  <c r="E113" i="20" s="1"/>
  <c r="F113" i="20" s="1"/>
  <c r="D114" i="20" s="1"/>
  <c r="E114" i="20" s="1"/>
  <c r="F114" i="20" s="1"/>
  <c r="D115" i="20" s="1"/>
  <c r="E115" i="20" s="1"/>
  <c r="F115" i="20" s="1"/>
  <c r="D116" i="20" s="1"/>
  <c r="E116" i="20" s="1"/>
  <c r="F116" i="20" s="1"/>
  <c r="D117" i="20" s="1"/>
  <c r="E117" i="20" s="1"/>
  <c r="F117" i="20" s="1"/>
  <c r="D118" i="20" s="1"/>
  <c r="E118" i="20" s="1"/>
  <c r="F118" i="20" s="1"/>
  <c r="D119" i="20" s="1"/>
  <c r="E119" i="20" s="1"/>
  <c r="F119" i="20" s="1"/>
  <c r="D120" i="20" s="1"/>
  <c r="E120" i="20" s="1"/>
  <c r="F120" i="20" s="1"/>
  <c r="D121" i="20" s="1"/>
  <c r="E121" i="20" s="1"/>
  <c r="F121" i="20" s="1"/>
  <c r="D122" i="20" s="1"/>
  <c r="E122" i="20" s="1"/>
  <c r="F122" i="20" s="1"/>
  <c r="D123" i="20" s="1"/>
  <c r="E123" i="20" s="1"/>
  <c r="F123" i="20" s="1"/>
  <c r="D124" i="20" s="1"/>
  <c r="E124" i="20" s="1"/>
  <c r="F124" i="20" s="1"/>
  <c r="D125" i="20" s="1"/>
  <c r="E125" i="20" s="1"/>
  <c r="F125" i="20" s="1"/>
  <c r="D126" i="20" s="1"/>
  <c r="E126" i="20" s="1"/>
  <c r="F126" i="20" s="1"/>
  <c r="D127" i="20" s="1"/>
  <c r="E127" i="20" s="1"/>
  <c r="F127" i="20" s="1"/>
  <c r="D128" i="20" s="1"/>
  <c r="E128" i="20" s="1"/>
  <c r="F128" i="20" s="1"/>
  <c r="D129" i="20" s="1"/>
  <c r="E129" i="20" s="1"/>
  <c r="F129" i="20" s="1"/>
  <c r="D130" i="20" s="1"/>
  <c r="E130" i="20" s="1"/>
  <c r="F130" i="20" s="1"/>
  <c r="D131" i="20" s="1"/>
  <c r="E131" i="20" s="1"/>
  <c r="F131" i="20" s="1"/>
  <c r="D132" i="20" s="1"/>
  <c r="E132" i="20" s="1"/>
  <c r="F132" i="20" s="1"/>
  <c r="D133" i="20" s="1"/>
  <c r="E133" i="20" s="1"/>
  <c r="F133" i="20" s="1"/>
  <c r="D134" i="20" s="1"/>
  <c r="E134" i="20" s="1"/>
  <c r="F134" i="20" s="1"/>
  <c r="D135" i="20" s="1"/>
  <c r="E135" i="20" s="1"/>
  <c r="F135" i="20" s="1"/>
  <c r="D136" i="20" s="1"/>
  <c r="E136" i="20" s="1"/>
  <c r="F136" i="20" s="1"/>
  <c r="D137" i="20" s="1"/>
  <c r="E137" i="20" s="1"/>
  <c r="F137" i="20" s="1"/>
  <c r="D138" i="20" s="1"/>
  <c r="E138" i="20" s="1"/>
  <c r="F138" i="20" s="1"/>
  <c r="D139" i="20" s="1"/>
  <c r="E139" i="20" s="1"/>
  <c r="F139" i="20" s="1"/>
  <c r="D140" i="20" s="1"/>
  <c r="E140" i="20" s="1"/>
  <c r="F140" i="20" s="1"/>
  <c r="D141" i="20" s="1"/>
  <c r="E141" i="20" s="1"/>
  <c r="F141" i="20" s="1"/>
  <c r="D142" i="20" s="1"/>
  <c r="E142" i="20" s="1"/>
  <c r="F142" i="20" s="1"/>
  <c r="D143" i="20" s="1"/>
  <c r="E143" i="20" s="1"/>
  <c r="F143" i="20" s="1"/>
  <c r="D144" i="20" s="1"/>
  <c r="E144" i="20" s="1"/>
  <c r="F144" i="20" s="1"/>
  <c r="D145" i="20" s="1"/>
  <c r="E145" i="20" s="1"/>
  <c r="F145" i="20" s="1"/>
  <c r="D146" i="20" s="1"/>
  <c r="E146" i="20" s="1"/>
  <c r="F146" i="20" s="1"/>
  <c r="D147" i="20" s="1"/>
  <c r="E147" i="20" s="1"/>
  <c r="F147" i="20" s="1"/>
  <c r="D148" i="20" s="1"/>
  <c r="E148" i="20" s="1"/>
  <c r="F148" i="20" s="1"/>
  <c r="D149" i="20" s="1"/>
  <c r="E149" i="20" s="1"/>
  <c r="F149" i="20" s="1"/>
  <c r="D150" i="20" s="1"/>
  <c r="E150" i="20" s="1"/>
  <c r="F150" i="20" s="1"/>
  <c r="D151" i="20" s="1"/>
  <c r="E151" i="20" s="1"/>
  <c r="F151" i="20" s="1"/>
  <c r="D152" i="20" s="1"/>
  <c r="E152" i="20" s="1"/>
  <c r="F152" i="20" s="1"/>
  <c r="D153" i="20" s="1"/>
  <c r="E153" i="20" s="1"/>
  <c r="F153" i="20" s="1"/>
  <c r="D154" i="20" s="1"/>
  <c r="E154" i="20" s="1"/>
  <c r="F154" i="20" s="1"/>
  <c r="D155" i="20" s="1"/>
  <c r="E155" i="20" s="1"/>
  <c r="F155" i="20" s="1"/>
  <c r="D156" i="20" s="1"/>
  <c r="E156" i="20" s="1"/>
  <c r="F156" i="20" s="1"/>
  <c r="D157" i="20" s="1"/>
  <c r="E157" i="20" s="1"/>
  <c r="F157" i="20" s="1"/>
  <c r="D158" i="20" s="1"/>
  <c r="E158" i="20" s="1"/>
  <c r="F158" i="20" s="1"/>
  <c r="D159" i="20" s="1"/>
  <c r="E159" i="20" s="1"/>
  <c r="F159" i="20" s="1"/>
  <c r="D160" i="20" s="1"/>
  <c r="E160" i="20" s="1"/>
  <c r="F160" i="20" s="1"/>
  <c r="D161" i="20" s="1"/>
  <c r="E340" i="20"/>
  <c r="E341" i="20" s="1"/>
  <c r="C1023" i="20"/>
  <c r="C1024" i="20" s="1"/>
  <c r="C1025" i="20" s="1"/>
  <c r="C1026" i="20" s="1"/>
  <c r="C1027" i="20" s="1"/>
  <c r="C1028" i="20" s="1"/>
  <c r="C1029" i="20" s="1"/>
  <c r="C1030" i="20" s="1"/>
  <c r="C1031" i="20" s="1"/>
  <c r="C1032" i="20" s="1"/>
  <c r="C1033" i="20" s="1"/>
  <c r="C1034" i="20" s="1"/>
  <c r="C1035" i="20" s="1"/>
  <c r="C1036" i="20" s="1"/>
  <c r="C1037" i="20" s="1"/>
  <c r="C1038" i="20" s="1"/>
  <c r="C1039" i="20" s="1"/>
  <c r="C1040" i="20" s="1"/>
  <c r="C1041" i="20" s="1"/>
  <c r="C1042" i="20" s="1"/>
  <c r="C1043" i="20" s="1"/>
  <c r="C1044" i="20" s="1"/>
  <c r="C1045" i="20" s="1"/>
  <c r="C1046" i="20" s="1"/>
  <c r="C1047" i="20" s="1"/>
  <c r="C1048" i="20" s="1"/>
  <c r="C1049" i="20" s="1"/>
  <c r="C1050" i="20" s="1"/>
  <c r="C1051" i="20" s="1"/>
  <c r="C1052" i="20" s="1"/>
  <c r="E1052" i="20"/>
  <c r="E1053" i="20" s="1"/>
  <c r="F251" i="20" l="1"/>
  <c r="F429" i="20"/>
  <c r="F874" i="20"/>
  <c r="E1440" i="20"/>
  <c r="F1440" i="20" s="1"/>
  <c r="D1441" i="20" s="1"/>
  <c r="E161" i="20"/>
  <c r="E162" i="20" s="1"/>
  <c r="F1052" i="20"/>
  <c r="C132" i="20"/>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C161" i="20" s="1"/>
  <c r="E1529" i="20"/>
  <c r="F1529" i="20" s="1"/>
  <c r="D1530" i="20" s="1"/>
  <c r="L179" i="2"/>
  <c r="F340" i="20"/>
  <c r="F1141" i="20"/>
  <c r="F161" i="20" l="1"/>
  <c r="E1441" i="20"/>
  <c r="F1441" i="20" s="1"/>
  <c r="D1442" i="20" s="1"/>
  <c r="E1530" i="20"/>
  <c r="F1530" i="20" s="1"/>
  <c r="L180" i="2" l="1"/>
  <c r="L185" i="2" s="1"/>
  <c r="G185" i="2"/>
  <c r="D1531" i="20"/>
  <c r="E1442" i="20"/>
  <c r="F1442" i="20" s="1"/>
  <c r="D1443" i="20" s="1"/>
  <c r="E1443" i="20" l="1"/>
  <c r="F1443" i="20" s="1"/>
  <c r="D1444" i="20" s="1"/>
  <c r="E1531" i="20"/>
  <c r="F1531" i="20" s="1"/>
  <c r="D1532" i="20" s="1"/>
  <c r="E1532" i="20" l="1"/>
  <c r="F1532" i="20" s="1"/>
  <c r="E1444" i="20"/>
  <c r="F1444" i="20" s="1"/>
  <c r="D1533" i="20" l="1"/>
  <c r="E1533" i="20" s="1"/>
  <c r="F1533" i="20" s="1"/>
  <c r="D1445" i="20"/>
  <c r="D1534" i="20" l="1"/>
  <c r="E1445" i="20"/>
  <c r="F1445" i="20" s="1"/>
  <c r="D1446" i="20" l="1"/>
  <c r="E1534" i="20"/>
  <c r="F1534" i="20" s="1"/>
  <c r="D1535" i="20" l="1"/>
  <c r="E1535" i="20" s="1"/>
  <c r="F1535" i="20" s="1"/>
  <c r="E1446" i="20"/>
  <c r="F1446" i="20" s="1"/>
  <c r="D1447" i="20" s="1"/>
  <c r="D1536" i="20" l="1"/>
  <c r="E1536" i="20" s="1"/>
  <c r="F1536" i="20" s="1"/>
  <c r="E1447" i="20"/>
  <c r="F1447" i="20" s="1"/>
  <c r="D1448" i="20" s="1"/>
  <c r="D1537" i="20" l="1"/>
  <c r="E1537" i="20" s="1"/>
  <c r="F1537" i="20" s="1"/>
  <c r="E1448" i="20"/>
  <c r="F1448" i="20" s="1"/>
  <c r="D1449" i="20" s="1"/>
  <c r="D1538" i="20" l="1"/>
  <c r="E1538" i="20" s="1"/>
  <c r="F1538" i="20" s="1"/>
  <c r="E1449" i="20"/>
  <c r="F1449" i="20" s="1"/>
  <c r="D1450" i="20" l="1"/>
  <c r="E1450" i="20" s="1"/>
  <c r="F1450" i="20" s="1"/>
  <c r="D1451" i="20" s="1"/>
  <c r="D1539" i="20"/>
  <c r="E1539" i="20" s="1"/>
  <c r="F1539" i="20" s="1"/>
  <c r="D1540" i="20" l="1"/>
  <c r="E1540" i="20" s="1"/>
  <c r="F1540" i="20" s="1"/>
  <c r="E1451" i="20"/>
  <c r="F1451" i="20" s="1"/>
  <c r="D1541" i="20" l="1"/>
  <c r="E1541" i="20" s="1"/>
  <c r="F1541" i="20" s="1"/>
  <c r="D1452" i="20"/>
  <c r="E1452" i="20" s="1"/>
  <c r="F1452" i="20" s="1"/>
  <c r="D1453" i="20" s="1"/>
  <c r="D1542" i="20" l="1"/>
  <c r="E1542" i="20" s="1"/>
  <c r="F1542" i="20" s="1"/>
  <c r="D1543" i="20" s="1"/>
  <c r="E1453" i="20"/>
  <c r="F1453" i="20" s="1"/>
  <c r="D1454" i="20" l="1"/>
  <c r="E1454" i="20" s="1"/>
  <c r="F1454" i="20" s="1"/>
  <c r="E1543" i="20"/>
  <c r="F1543" i="20" s="1"/>
  <c r="D1544" i="20" s="1"/>
  <c r="D1455" i="20" l="1"/>
  <c r="E1455" i="20" s="1"/>
  <c r="F1455" i="20" s="1"/>
  <c r="E1544" i="20"/>
  <c r="F1544" i="20" s="1"/>
  <c r="D1545" i="20" l="1"/>
  <c r="E1545" i="20" s="1"/>
  <c r="F1545" i="20" s="1"/>
  <c r="D1546" i="20" s="1"/>
  <c r="D1456" i="20"/>
  <c r="E1456" i="20" s="1"/>
  <c r="F1456" i="20" s="1"/>
  <c r="D1457" i="20" l="1"/>
  <c r="E1457" i="20" s="1"/>
  <c r="F1457" i="20" s="1"/>
  <c r="E1546" i="20"/>
  <c r="F1546" i="20" s="1"/>
  <c r="D1547" i="20" l="1"/>
  <c r="E1547" i="20" s="1"/>
  <c r="F1547" i="20" s="1"/>
  <c r="D1458" i="20"/>
  <c r="E1458" i="20" s="1"/>
  <c r="F1458" i="20" s="1"/>
  <c r="D1459" i="20" s="1"/>
  <c r="D1548" i="20" l="1"/>
  <c r="E1548" i="20" s="1"/>
  <c r="F1548" i="20" s="1"/>
  <c r="E1459" i="20"/>
  <c r="F1459" i="20" s="1"/>
  <c r="D1460" i="20" l="1"/>
  <c r="E1460" i="20" s="1"/>
  <c r="F1460" i="20" s="1"/>
  <c r="D1549" i="20"/>
  <c r="E1549" i="20" s="1"/>
  <c r="F1549" i="20" s="1"/>
  <c r="D1550" i="20" s="1"/>
  <c r="D1461" i="20" l="1"/>
  <c r="E1461" i="20" s="1"/>
  <c r="F1461" i="20" s="1"/>
  <c r="D1462" i="20" s="1"/>
  <c r="E1550" i="20"/>
  <c r="F1550" i="20" s="1"/>
  <c r="D1551" i="20" l="1"/>
  <c r="E1551" i="20" s="1"/>
  <c r="F1551" i="20" s="1"/>
  <c r="E1462" i="20"/>
  <c r="F1462" i="20" s="1"/>
  <c r="D1463" i="20" s="1"/>
  <c r="D1552" i="20" l="1"/>
  <c r="E1552" i="20" s="1"/>
  <c r="F1552" i="20" s="1"/>
  <c r="E1463" i="20"/>
  <c r="F1463" i="20" s="1"/>
  <c r="D1464" i="20" s="1"/>
  <c r="D1553" i="20" l="1"/>
  <c r="E1553" i="20" s="1"/>
  <c r="F1553" i="20" s="1"/>
  <c r="E1464" i="20"/>
  <c r="F1464" i="20" s="1"/>
  <c r="D1465" i="20" l="1"/>
  <c r="E1465" i="20" s="1"/>
  <c r="F1465" i="20" s="1"/>
  <c r="D1554" i="20"/>
  <c r="E1554" i="20" s="1"/>
  <c r="D1466" i="20" l="1"/>
  <c r="E1466" i="20" s="1"/>
  <c r="F1466" i="20" s="1"/>
  <c r="F1554" i="20"/>
  <c r="D1555" i="20" s="1"/>
  <c r="E1555" i="20" s="1"/>
  <c r="F1555" i="20" s="1"/>
  <c r="D1556" i="20" s="1"/>
  <c r="D1467" i="20" l="1"/>
  <c r="E1467" i="20" s="1"/>
  <c r="F1467" i="20" s="1"/>
  <c r="E1556" i="20"/>
  <c r="F1556" i="20" s="1"/>
  <c r="D1468" i="20" l="1"/>
  <c r="E1468" i="20" s="1"/>
  <c r="F1468" i="20" s="1"/>
  <c r="D1557" i="20"/>
  <c r="D1469" i="20" l="1"/>
  <c r="E1469" i="20" s="1"/>
  <c r="F1469" i="20" s="1"/>
  <c r="E1557" i="20"/>
  <c r="F1557" i="20" s="1"/>
  <c r="D1558" i="20" l="1"/>
  <c r="E1558" i="20" s="1"/>
  <c r="F1558" i="20" s="1"/>
  <c r="D1559" i="20" s="1"/>
  <c r="D1470" i="20"/>
  <c r="E1559" i="20" l="1"/>
  <c r="F1559" i="20" s="1"/>
  <c r="E1470" i="20"/>
  <c r="F1470" i="20" s="1"/>
  <c r="D1471" i="20" l="1"/>
  <c r="E1471" i="20" s="1"/>
  <c r="F1471" i="20" s="1"/>
  <c r="D1560" i="20"/>
  <c r="D1472" i="20" l="1"/>
  <c r="E1560" i="20"/>
  <c r="F1560" i="20" s="1"/>
  <c r="D1561" i="20" l="1"/>
  <c r="E1472" i="20"/>
  <c r="F1472" i="20" s="1"/>
  <c r="D1473" i="20" l="1"/>
  <c r="E1561" i="20"/>
  <c r="F1561" i="20" s="1"/>
  <c r="D1562" i="20" l="1"/>
  <c r="E1473" i="20"/>
  <c r="F1473" i="20" s="1"/>
  <c r="D1474" i="20" l="1"/>
  <c r="E1562" i="20"/>
  <c r="F1562" i="20" s="1"/>
  <c r="D1563" i="20" l="1"/>
  <c r="E1474" i="20"/>
  <c r="F1474" i="20" s="1"/>
  <c r="D1475" i="20" l="1"/>
  <c r="E1563" i="20"/>
  <c r="F1563" i="20" s="1"/>
  <c r="D1564" i="20" l="1"/>
  <c r="E1475" i="20"/>
  <c r="F1475" i="20" s="1"/>
  <c r="D1476" i="20" s="1"/>
  <c r="E1476" i="20" l="1"/>
  <c r="F1476" i="20" s="1"/>
  <c r="E1564" i="20"/>
  <c r="F1564" i="20" s="1"/>
  <c r="D1477" i="20" l="1"/>
  <c r="D1565" i="20"/>
  <c r="E1565" i="20" l="1"/>
  <c r="F1565" i="20" s="1"/>
  <c r="D1566" i="20" s="1"/>
  <c r="E1477" i="20"/>
  <c r="F1477" i="20" s="1"/>
  <c r="D1478" i="20" l="1"/>
  <c r="E1566" i="20"/>
  <c r="F1566" i="20" s="1"/>
  <c r="D1567" i="20" l="1"/>
  <c r="E1478" i="20"/>
  <c r="F1478" i="20" s="1"/>
  <c r="D1479" i="20" l="1"/>
  <c r="E1479" i="20" s="1"/>
  <c r="E1567" i="20"/>
  <c r="F1567" i="20" s="1"/>
  <c r="F1479" i="20" l="1"/>
  <c r="D1480" i="20" s="1"/>
  <c r="E1480" i="20" s="1"/>
  <c r="F1480" i="20" s="1"/>
  <c r="D1568" i="20"/>
  <c r="D1481" i="20" l="1"/>
  <c r="E1568" i="20"/>
  <c r="F1568" i="20" s="1"/>
  <c r="D1569" i="20" l="1"/>
  <c r="E1481" i="20"/>
  <c r="F1481" i="20" s="1"/>
  <c r="D1482" i="20" l="1"/>
  <c r="E1569" i="20"/>
  <c r="F1569" i="20" s="1"/>
  <c r="D1570" i="20" s="1"/>
  <c r="E1570" i="20" l="1"/>
  <c r="F1570" i="20" s="1"/>
  <c r="D1571" i="20" s="1"/>
  <c r="E1482" i="20"/>
  <c r="F1482" i="20" s="1"/>
  <c r="D1483" i="20" s="1"/>
  <c r="E1483" i="20" l="1"/>
  <c r="F1483" i="20" s="1"/>
  <c r="E1571" i="20"/>
  <c r="F1571" i="20" s="1"/>
  <c r="D1572" i="20" l="1"/>
  <c r="D1484" i="20"/>
  <c r="E1484" i="20" l="1"/>
  <c r="F1484" i="20" s="1"/>
  <c r="E1572" i="20"/>
  <c r="F1572" i="20" s="1"/>
  <c r="D1573" i="20" l="1"/>
  <c r="E1573" i="20" s="1"/>
  <c r="F1573" i="20" s="1"/>
  <c r="D1485" i="20"/>
  <c r="D1574" i="20" l="1"/>
  <c r="E1485" i="20"/>
  <c r="F1485" i="20" s="1"/>
  <c r="D1486" i="20" l="1"/>
  <c r="E1574" i="20"/>
  <c r="F1574" i="20" s="1"/>
  <c r="D1575" i="20" l="1"/>
  <c r="E1575" i="20" s="1"/>
  <c r="F1575" i="20" s="1"/>
  <c r="E1486" i="20"/>
  <c r="F1486" i="20" s="1"/>
  <c r="D1487" i="20" l="1"/>
  <c r="D1576" i="20"/>
  <c r="E1576" i="20" l="1"/>
  <c r="F1576" i="20" s="1"/>
  <c r="E1487" i="20"/>
  <c r="F1487" i="20" s="1"/>
  <c r="D1488" i="20" l="1"/>
  <c r="E1488" i="20" s="1"/>
  <c r="F1488" i="20" s="1"/>
  <c r="D1489" i="20" s="1"/>
  <c r="D1577" i="20"/>
  <c r="E1489" i="20" l="1"/>
  <c r="F1489" i="20" s="1"/>
  <c r="E1577" i="20"/>
  <c r="F1577" i="20" s="1"/>
  <c r="D1578" i="20" l="1"/>
  <c r="E1578" i="20" s="1"/>
  <c r="F1578" i="20" s="1"/>
  <c r="D1490" i="20"/>
  <c r="D1579" i="20" l="1"/>
  <c r="E1579" i="20" s="1"/>
  <c r="F1579" i="20" s="1"/>
  <c r="D1580" i="20" s="1"/>
  <c r="E1490" i="20"/>
  <c r="F1490" i="20" s="1"/>
  <c r="D1491" i="20" s="1"/>
  <c r="E1580" i="20" l="1"/>
  <c r="F1580" i="20" s="1"/>
  <c r="E1491" i="20"/>
  <c r="F1491" i="20" s="1"/>
  <c r="D1492" i="20" l="1"/>
  <c r="E1492" i="20" s="1"/>
  <c r="F1492" i="20" s="1"/>
  <c r="D1493" i="20" s="1"/>
  <c r="D1581" i="20"/>
  <c r="E1581" i="20" s="1"/>
  <c r="F1581" i="20" s="1"/>
  <c r="D1582" i="20" s="1"/>
  <c r="E1582" i="20" l="1"/>
  <c r="F1582" i="20" s="1"/>
  <c r="D1583" i="20" s="1"/>
  <c r="E1493" i="20"/>
  <c r="F1493" i="20" s="1"/>
  <c r="D1494" i="20" l="1"/>
  <c r="E1494" i="20" s="1"/>
  <c r="F1494" i="20" s="1"/>
  <c r="D1495" i="20" s="1"/>
  <c r="E1583" i="20"/>
  <c r="F1583" i="20" s="1"/>
  <c r="D1584" i="20" l="1"/>
  <c r="E1584" i="20" s="1"/>
  <c r="E1495" i="20"/>
  <c r="F1495" i="20" s="1"/>
  <c r="F1584" i="20" l="1"/>
  <c r="D1585" i="20" s="1"/>
  <c r="E1585" i="20" s="1"/>
  <c r="F1585" i="20" s="1"/>
  <c r="D1496" i="20"/>
  <c r="E1496" i="20" s="1"/>
  <c r="F1496" i="20" s="1"/>
  <c r="D1586" i="20" l="1"/>
  <c r="E1586" i="20" s="1"/>
  <c r="E1587" i="20" s="1"/>
  <c r="D1497" i="20"/>
  <c r="E1497" i="20" l="1"/>
  <c r="E1498" i="20" s="1"/>
  <c r="F1586" i="20"/>
  <c r="F1497" i="20" l="1"/>
  <c r="L45" i="2" l="1"/>
  <c r="L46" i="2" l="1"/>
  <c r="D41" i="9" l="1"/>
  <c r="G162" i="2" s="1"/>
  <c r="F41" i="9" l="1"/>
  <c r="G168" i="2" s="1"/>
  <c r="L168" i="2" s="1"/>
  <c r="E41" i="9" l="1"/>
  <c r="D33" i="9" l="1"/>
  <c r="G152" i="2" s="1"/>
  <c r="G155" i="2" s="1"/>
  <c r="D61" i="9"/>
  <c r="G163" i="2" s="1"/>
  <c r="G165" i="2" s="1"/>
  <c r="L44" i="2" l="1"/>
  <c r="L48" i="2" s="1"/>
  <c r="F61" i="9"/>
  <c r="G169" i="2" s="1"/>
  <c r="L169" i="2" s="1"/>
  <c r="L165" i="2"/>
  <c r="L155" i="2"/>
  <c r="G118" i="2"/>
  <c r="G127" i="2" s="1"/>
  <c r="G131" i="2" s="1"/>
  <c r="G213" i="2" s="1"/>
  <c r="G172" i="2" l="1"/>
  <c r="G174" i="2" s="1"/>
  <c r="G176" i="2" s="1"/>
  <c r="L172" i="2"/>
  <c r="L174" i="2" s="1"/>
  <c r="L176" i="2" s="1"/>
  <c r="E61" i="9"/>
  <c r="L118" i="2"/>
  <c r="L127" i="2" s="1"/>
  <c r="L131" i="2" s="1"/>
  <c r="G206" i="2"/>
  <c r="G211" i="2" s="1"/>
  <c r="G221" i="2" l="1"/>
  <c r="E28" i="13"/>
  <c r="E30" i="13" s="1"/>
  <c r="L213" i="2"/>
  <c r="F28" i="20"/>
  <c r="F30" i="20" s="1"/>
  <c r="G56" i="20" l="1"/>
  <c r="F34" i="20"/>
  <c r="F36" i="20" s="1"/>
  <c r="F40" i="20" s="1"/>
  <c r="G57" i="20" s="1"/>
  <c r="L206" i="2"/>
  <c r="L211" i="2" s="1"/>
  <c r="L221" i="2" s="1"/>
  <c r="L13" i="2" s="1"/>
  <c r="G49" i="20"/>
  <c r="F49" i="13"/>
  <c r="F56" i="13"/>
  <c r="E34" i="13"/>
  <c r="E36" i="13" s="1"/>
  <c r="E40" i="13" s="1"/>
  <c r="F57" i="13" s="1"/>
  <c r="G50" i="20" l="1"/>
  <c r="F50" i="13"/>
  <c r="L37" i="2"/>
  <c r="L20" i="2"/>
  <c r="F47" i="13"/>
  <c r="L30" i="2"/>
  <c r="L31" i="2" s="1"/>
  <c r="G47" i="20"/>
  <c r="L34" i="2"/>
  <c r="G51" i="20" l="1"/>
  <c r="G55" i="20" s="1"/>
  <c r="G58" i="20" s="1"/>
  <c r="G60" i="20" s="1"/>
  <c r="G68" i="20" s="1"/>
  <c r="G69" i="20" s="1"/>
  <c r="F51" i="13"/>
  <c r="F55" i="13" s="1"/>
  <c r="F58" i="13" s="1"/>
  <c r="F65" i="13" s="1"/>
  <c r="F66" i="13" s="1"/>
  <c r="G70" i="20"/>
  <c r="F70" i="13"/>
  <c r="J97" i="13" s="1"/>
  <c r="F60" i="13" l="1"/>
  <c r="F68" i="13" s="1"/>
  <c r="F69" i="13" s="1"/>
  <c r="F71" i="13" s="1"/>
  <c r="G65" i="20"/>
  <c r="G66" i="20" s="1"/>
  <c r="I1166" i="20"/>
  <c r="I1433" i="20"/>
  <c r="I1434" i="20" s="1"/>
  <c r="I454" i="20"/>
  <c r="I187" i="20"/>
  <c r="I1077" i="20"/>
  <c r="I988" i="20"/>
  <c r="I899" i="20"/>
  <c r="I365" i="20"/>
  <c r="I543" i="20"/>
  <c r="I276" i="20"/>
  <c r="I632" i="20"/>
  <c r="I97" i="20"/>
  <c r="I1522" i="20"/>
  <c r="I1523" i="20" s="1"/>
  <c r="I1344" i="20"/>
  <c r="I1255" i="20"/>
  <c r="I721" i="20"/>
  <c r="I810" i="20"/>
  <c r="H108" i="13"/>
  <c r="H133" i="13"/>
  <c r="H151" i="13"/>
  <c r="H125" i="13"/>
  <c r="H157" i="13"/>
  <c r="H126" i="13"/>
  <c r="H117" i="13"/>
  <c r="H109" i="13"/>
  <c r="H154" i="13"/>
  <c r="H131" i="13"/>
  <c r="H161" i="13"/>
  <c r="H113" i="13"/>
  <c r="H148" i="13"/>
  <c r="H138" i="13"/>
  <c r="H121" i="13"/>
  <c r="H115" i="13"/>
  <c r="H124" i="13"/>
  <c r="H127" i="13"/>
  <c r="H123" i="13"/>
  <c r="H141" i="13"/>
  <c r="H158" i="13"/>
  <c r="H135" i="13"/>
  <c r="H120" i="13"/>
  <c r="H132" i="13"/>
  <c r="H139" i="13"/>
  <c r="H111" i="13"/>
  <c r="H102" i="13"/>
  <c r="H129" i="13"/>
  <c r="H145" i="13"/>
  <c r="H128" i="13"/>
  <c r="H150" i="13"/>
  <c r="H147" i="13"/>
  <c r="H103" i="13"/>
  <c r="H105" i="13"/>
  <c r="H140" i="13"/>
  <c r="H137" i="13"/>
  <c r="H134" i="13"/>
  <c r="H146" i="13"/>
  <c r="H136" i="13"/>
  <c r="J98" i="13"/>
  <c r="H118" i="13"/>
  <c r="H112" i="13"/>
  <c r="H106" i="13"/>
  <c r="H155" i="13"/>
  <c r="H156" i="13"/>
  <c r="H119" i="13"/>
  <c r="H110" i="13"/>
  <c r="H159" i="13"/>
  <c r="H130" i="13"/>
  <c r="H149" i="13"/>
  <c r="H114" i="13"/>
  <c r="H142" i="13"/>
  <c r="H116" i="13"/>
  <c r="H143" i="13"/>
  <c r="H122" i="13"/>
  <c r="H107" i="13"/>
  <c r="H160" i="13"/>
  <c r="H144" i="13"/>
  <c r="H104" i="13"/>
  <c r="H153" i="13"/>
  <c r="H152" i="13"/>
  <c r="G71" i="20"/>
  <c r="G683" i="20" l="1"/>
  <c r="G639" i="20"/>
  <c r="G658" i="20"/>
  <c r="G643" i="20"/>
  <c r="G672" i="20"/>
  <c r="G685" i="20"/>
  <c r="G684" i="20"/>
  <c r="G667" i="20"/>
  <c r="G696" i="20"/>
  <c r="G689" i="20"/>
  <c r="G682" i="20"/>
  <c r="G637" i="20"/>
  <c r="G661" i="20"/>
  <c r="G644" i="20"/>
  <c r="G674" i="20"/>
  <c r="G653" i="20"/>
  <c r="G659" i="20"/>
  <c r="G678" i="20"/>
  <c r="G670" i="20"/>
  <c r="G648" i="20"/>
  <c r="G656" i="20"/>
  <c r="G652" i="20"/>
  <c r="G681" i="20"/>
  <c r="G651" i="20"/>
  <c r="G691" i="20"/>
  <c r="I633" i="20"/>
  <c r="G665" i="20"/>
  <c r="G677" i="20"/>
  <c r="G694" i="20"/>
  <c r="G669" i="20"/>
  <c r="G647" i="20"/>
  <c r="N624" i="20" s="1"/>
  <c r="G686" i="20"/>
  <c r="G676" i="20"/>
  <c r="G650" i="20"/>
  <c r="G655" i="20"/>
  <c r="G692" i="20"/>
  <c r="G649" i="20"/>
  <c r="G679" i="20"/>
  <c r="G671" i="20"/>
  <c r="G693" i="20"/>
  <c r="G654" i="20"/>
  <c r="G666" i="20"/>
  <c r="G663" i="20"/>
  <c r="G660" i="20"/>
  <c r="G687" i="20"/>
  <c r="G695" i="20"/>
  <c r="G675" i="20"/>
  <c r="G688" i="20"/>
  <c r="G641" i="20"/>
  <c r="G662" i="20"/>
  <c r="G645" i="20"/>
  <c r="G657" i="20"/>
  <c r="G640" i="20"/>
  <c r="G690" i="20"/>
  <c r="G673" i="20"/>
  <c r="G664" i="20"/>
  <c r="G638" i="20"/>
  <c r="G642" i="20"/>
  <c r="G680" i="20"/>
  <c r="G646" i="20"/>
  <c r="G668" i="20"/>
  <c r="G421" i="20"/>
  <c r="G426" i="20"/>
  <c r="G374" i="20"/>
  <c r="G418" i="20"/>
  <c r="G422" i="20"/>
  <c r="G378" i="20"/>
  <c r="G427" i="20"/>
  <c r="G382" i="20"/>
  <c r="N357" i="20" s="1"/>
  <c r="G398" i="20"/>
  <c r="G429" i="20"/>
  <c r="G370" i="20"/>
  <c r="G428" i="20"/>
  <c r="G372" i="20"/>
  <c r="G381" i="20"/>
  <c r="G406" i="20"/>
  <c r="G399" i="20"/>
  <c r="G384" i="20"/>
  <c r="G405" i="20"/>
  <c r="G416" i="20"/>
  <c r="G403" i="20"/>
  <c r="G401" i="20"/>
  <c r="G377" i="20"/>
  <c r="G415" i="20"/>
  <c r="G392" i="20"/>
  <c r="G371" i="20"/>
  <c r="G412" i="20"/>
  <c r="G424" i="20"/>
  <c r="G380" i="20"/>
  <c r="G408" i="20"/>
  <c r="G417" i="20"/>
  <c r="G425" i="20"/>
  <c r="G404" i="20"/>
  <c r="G379" i="20"/>
  <c r="G391" i="20"/>
  <c r="G397" i="20"/>
  <c r="G419" i="20"/>
  <c r="G383" i="20"/>
  <c r="G402" i="20"/>
  <c r="G390" i="20"/>
  <c r="G414" i="20"/>
  <c r="G396" i="20"/>
  <c r="G413" i="20"/>
  <c r="G393" i="20"/>
  <c r="I366" i="20"/>
  <c r="G409" i="20"/>
  <c r="G389" i="20"/>
  <c r="G386" i="20"/>
  <c r="G373" i="20"/>
  <c r="G387" i="20"/>
  <c r="G385" i="20"/>
  <c r="G375" i="20"/>
  <c r="G423" i="20"/>
  <c r="G410" i="20"/>
  <c r="G407" i="20"/>
  <c r="G376" i="20"/>
  <c r="G400" i="20"/>
  <c r="G388" i="20"/>
  <c r="G395" i="20"/>
  <c r="G411" i="20"/>
  <c r="G420" i="20"/>
  <c r="G394" i="20"/>
  <c r="G149" i="20"/>
  <c r="G150" i="20"/>
  <c r="G152" i="20"/>
  <c r="G143" i="20"/>
  <c r="G131" i="20"/>
  <c r="G123" i="20"/>
  <c r="G133" i="20"/>
  <c r="G120" i="20"/>
  <c r="N89" i="20" s="1"/>
  <c r="G154" i="20"/>
  <c r="G130" i="20"/>
  <c r="G132" i="20"/>
  <c r="I98" i="20"/>
  <c r="G107" i="20"/>
  <c r="G148" i="20"/>
  <c r="G112" i="20"/>
  <c r="G103" i="20"/>
  <c r="G115" i="20"/>
  <c r="G113" i="20"/>
  <c r="G106" i="20"/>
  <c r="G117" i="20"/>
  <c r="G136" i="20"/>
  <c r="G129" i="20"/>
  <c r="G159" i="20"/>
  <c r="G137" i="20"/>
  <c r="G114" i="20"/>
  <c r="G119" i="20"/>
  <c r="G118" i="20"/>
  <c r="G108" i="20"/>
  <c r="G102" i="20"/>
  <c r="G158" i="20"/>
  <c r="G128" i="20"/>
  <c r="G127" i="20"/>
  <c r="G147" i="20"/>
  <c r="G134" i="20"/>
  <c r="G121" i="20"/>
  <c r="G151" i="20"/>
  <c r="G146" i="20"/>
  <c r="G142" i="20"/>
  <c r="G135" i="20"/>
  <c r="G153" i="20"/>
  <c r="G109" i="20"/>
  <c r="G125" i="20"/>
  <c r="G110" i="20"/>
  <c r="G104" i="20"/>
  <c r="G156" i="20"/>
  <c r="G116" i="20"/>
  <c r="G155" i="20"/>
  <c r="G141" i="20"/>
  <c r="G139" i="20"/>
  <c r="G145" i="20"/>
  <c r="G144" i="20"/>
  <c r="G122" i="20"/>
  <c r="G126" i="20"/>
  <c r="G111" i="20"/>
  <c r="G157" i="20"/>
  <c r="G124" i="20"/>
  <c r="G140" i="20"/>
  <c r="G105" i="20"/>
  <c r="G160" i="20"/>
  <c r="G161" i="20"/>
  <c r="G138" i="20"/>
  <c r="G1136" i="20"/>
  <c r="G1098" i="20"/>
  <c r="G1140" i="20"/>
  <c r="G1106" i="20"/>
  <c r="G1092" i="20"/>
  <c r="G1115" i="20"/>
  <c r="G1114" i="20"/>
  <c r="G1131" i="20"/>
  <c r="G1110" i="20"/>
  <c r="G1124" i="20"/>
  <c r="G1083" i="20"/>
  <c r="G1097" i="20"/>
  <c r="G1116" i="20"/>
  <c r="G1126" i="20"/>
  <c r="G1109" i="20"/>
  <c r="G1103" i="20"/>
  <c r="G1095" i="20"/>
  <c r="G1084" i="20"/>
  <c r="G1119" i="20"/>
  <c r="G1102" i="20"/>
  <c r="G1108" i="20"/>
  <c r="G1127" i="20"/>
  <c r="G1093" i="20"/>
  <c r="G1134" i="20"/>
  <c r="G1123" i="20"/>
  <c r="G1086" i="20"/>
  <c r="G1122" i="20"/>
  <c r="G1129" i="20"/>
  <c r="G1088" i="20"/>
  <c r="G1087" i="20"/>
  <c r="G1125" i="20"/>
  <c r="G1089" i="20"/>
  <c r="G1121" i="20"/>
  <c r="G1101" i="20"/>
  <c r="G1120" i="20"/>
  <c r="G1100" i="20"/>
  <c r="G1096" i="20"/>
  <c r="G1141" i="20"/>
  <c r="G1117" i="20"/>
  <c r="G1133" i="20"/>
  <c r="G1132" i="20"/>
  <c r="G1137" i="20"/>
  <c r="G1111" i="20"/>
  <c r="G1130" i="20"/>
  <c r="I1078" i="20"/>
  <c r="G1099" i="20"/>
  <c r="G1112" i="20"/>
  <c r="G1128" i="20"/>
  <c r="G1105" i="20"/>
  <c r="G1090" i="20"/>
  <c r="G1113" i="20"/>
  <c r="G1138" i="20"/>
  <c r="G1094" i="20"/>
  <c r="G1107" i="20"/>
  <c r="G1091" i="20"/>
  <c r="N1069" i="20" s="1"/>
  <c r="G1118" i="20"/>
  <c r="G1139" i="20"/>
  <c r="G1085" i="20"/>
  <c r="G1104" i="20"/>
  <c r="G1135" i="20"/>
  <c r="G918" i="20"/>
  <c r="G942" i="20"/>
  <c r="G941" i="20"/>
  <c r="G907" i="20"/>
  <c r="G922" i="20"/>
  <c r="G963" i="20"/>
  <c r="G948" i="20"/>
  <c r="G947" i="20"/>
  <c r="G904" i="20"/>
  <c r="G921" i="20"/>
  <c r="G944" i="20"/>
  <c r="G933" i="20"/>
  <c r="G932" i="20"/>
  <c r="G924" i="20"/>
  <c r="G958" i="20"/>
  <c r="G936" i="20"/>
  <c r="G911" i="20"/>
  <c r="G926" i="20"/>
  <c r="G923" i="20"/>
  <c r="G953" i="20"/>
  <c r="G952" i="20"/>
  <c r="G949" i="20"/>
  <c r="G939" i="20"/>
  <c r="G954" i="20"/>
  <c r="G930" i="20"/>
  <c r="G925" i="20"/>
  <c r="G955" i="20"/>
  <c r="G908" i="20"/>
  <c r="G916" i="20"/>
  <c r="G905" i="20"/>
  <c r="I900" i="20"/>
  <c r="G912" i="20"/>
  <c r="G927" i="20"/>
  <c r="G940" i="20"/>
  <c r="G945" i="20"/>
  <c r="G919" i="20"/>
  <c r="G961" i="20"/>
  <c r="G959" i="20"/>
  <c r="G909" i="20"/>
  <c r="G920" i="20"/>
  <c r="G906" i="20"/>
  <c r="G962" i="20"/>
  <c r="G915" i="20"/>
  <c r="G931" i="20"/>
  <c r="G957" i="20"/>
  <c r="G917" i="20"/>
  <c r="G914" i="20"/>
  <c r="N891" i="20" s="1"/>
  <c r="G934" i="20"/>
  <c r="G913" i="20"/>
  <c r="G960" i="20"/>
  <c r="G951" i="20"/>
  <c r="G935" i="20"/>
  <c r="G937" i="20"/>
  <c r="G943" i="20"/>
  <c r="G910" i="20"/>
  <c r="G938" i="20"/>
  <c r="G950" i="20"/>
  <c r="G928" i="20"/>
  <c r="G946" i="20"/>
  <c r="G956" i="20"/>
  <c r="G929" i="20"/>
  <c r="G205" i="20"/>
  <c r="G217" i="20"/>
  <c r="G235" i="20"/>
  <c r="G247" i="20"/>
  <c r="G246" i="20"/>
  <c r="G227" i="20"/>
  <c r="G192" i="20"/>
  <c r="G215" i="20"/>
  <c r="G222" i="20"/>
  <c r="G241" i="20"/>
  <c r="G221" i="20"/>
  <c r="G224" i="20"/>
  <c r="G214" i="20"/>
  <c r="G220" i="20"/>
  <c r="G242" i="20"/>
  <c r="G249" i="20"/>
  <c r="G194" i="20"/>
  <c r="G238" i="20"/>
  <c r="G236" i="20"/>
  <c r="G207" i="20"/>
  <c r="N179" i="20" s="1"/>
  <c r="G208" i="20"/>
  <c r="G244" i="20"/>
  <c r="G204" i="20"/>
  <c r="G245" i="20"/>
  <c r="G251" i="20"/>
  <c r="G231" i="20"/>
  <c r="G196" i="20"/>
  <c r="G199" i="20"/>
  <c r="G200" i="20"/>
  <c r="G198" i="20"/>
  <c r="G213" i="20"/>
  <c r="G229" i="20"/>
  <c r="I188" i="20"/>
  <c r="G250" i="20"/>
  <c r="G197" i="20"/>
  <c r="G203" i="20"/>
  <c r="G248" i="20"/>
  <c r="G237" i="20"/>
  <c r="G211" i="20"/>
  <c r="G218" i="20"/>
  <c r="G210" i="20"/>
  <c r="G225" i="20"/>
  <c r="G233" i="20"/>
  <c r="G240" i="20"/>
  <c r="G232" i="20"/>
  <c r="G226" i="20"/>
  <c r="G193" i="20"/>
  <c r="G223" i="20"/>
  <c r="G202" i="20"/>
  <c r="G212" i="20"/>
  <c r="G201" i="20"/>
  <c r="G243" i="20"/>
  <c r="G234" i="20"/>
  <c r="G228" i="20"/>
  <c r="G206" i="20"/>
  <c r="G216" i="20"/>
  <c r="G239" i="20"/>
  <c r="G209" i="20"/>
  <c r="G230" i="20"/>
  <c r="G219" i="20"/>
  <c r="G195" i="20"/>
  <c r="H162" i="13"/>
  <c r="G852" i="20"/>
  <c r="G830" i="20"/>
  <c r="G826" i="20"/>
  <c r="G860" i="20"/>
  <c r="G857" i="20"/>
  <c r="G848" i="20"/>
  <c r="G824" i="20"/>
  <c r="G829" i="20"/>
  <c r="G839" i="20"/>
  <c r="G827" i="20"/>
  <c r="N802" i="20" s="1"/>
  <c r="G823" i="20"/>
  <c r="G854" i="20"/>
  <c r="G864" i="20"/>
  <c r="G833" i="20"/>
  <c r="G825" i="20"/>
  <c r="G866" i="20"/>
  <c r="G853" i="20"/>
  <c r="G818" i="20"/>
  <c r="G850" i="20"/>
  <c r="G859" i="20"/>
  <c r="G819" i="20"/>
  <c r="G855" i="20"/>
  <c r="G838" i="20"/>
  <c r="G841" i="20"/>
  <c r="G837" i="20"/>
  <c r="G874" i="20"/>
  <c r="G872" i="20"/>
  <c r="I811" i="20"/>
  <c r="G817" i="20"/>
  <c r="G871" i="20"/>
  <c r="G831" i="20"/>
  <c r="G861" i="20"/>
  <c r="G849" i="20"/>
  <c r="G869" i="20"/>
  <c r="G834" i="20"/>
  <c r="G862" i="20"/>
  <c r="G863" i="20"/>
  <c r="G840" i="20"/>
  <c r="G867" i="20"/>
  <c r="G832" i="20"/>
  <c r="G815" i="20"/>
  <c r="G856" i="20"/>
  <c r="G847" i="20"/>
  <c r="G858" i="20"/>
  <c r="G851" i="20"/>
  <c r="G835" i="20"/>
  <c r="G836" i="20"/>
  <c r="G873" i="20"/>
  <c r="G845" i="20"/>
  <c r="G820" i="20"/>
  <c r="G846" i="20"/>
  <c r="G822" i="20"/>
  <c r="G844" i="20"/>
  <c r="G868" i="20"/>
  <c r="G821" i="20"/>
  <c r="G843" i="20"/>
  <c r="G865" i="20"/>
  <c r="G870" i="20"/>
  <c r="G816" i="20"/>
  <c r="G842" i="20"/>
  <c r="G828" i="20"/>
  <c r="G463" i="20"/>
  <c r="G514" i="20"/>
  <c r="G471" i="20"/>
  <c r="G503" i="20"/>
  <c r="G516" i="20"/>
  <c r="G469" i="20"/>
  <c r="G470" i="20"/>
  <c r="N446" i="20" s="1"/>
  <c r="I455" i="20"/>
  <c r="G504" i="20"/>
  <c r="G501" i="20"/>
  <c r="G512" i="20"/>
  <c r="G474" i="20"/>
  <c r="G475" i="20"/>
  <c r="G481" i="20"/>
  <c r="G467" i="20"/>
  <c r="G472" i="20"/>
  <c r="G464" i="20"/>
  <c r="G495" i="20"/>
  <c r="G478" i="20"/>
  <c r="G486" i="20"/>
  <c r="G491" i="20"/>
  <c r="G462" i="20"/>
  <c r="G494" i="20"/>
  <c r="G515" i="20"/>
  <c r="G476" i="20"/>
  <c r="G499" i="20"/>
  <c r="G517" i="20"/>
  <c r="G479" i="20"/>
  <c r="G497" i="20"/>
  <c r="G482" i="20"/>
  <c r="G473" i="20"/>
  <c r="G488" i="20"/>
  <c r="G506" i="20"/>
  <c r="G507" i="20"/>
  <c r="G483" i="20"/>
  <c r="G485" i="20"/>
  <c r="G484" i="20"/>
  <c r="G468" i="20"/>
  <c r="G511" i="20"/>
  <c r="G487" i="20"/>
  <c r="G489" i="20"/>
  <c r="G502" i="20"/>
  <c r="G490" i="20"/>
  <c r="G496" i="20"/>
  <c r="G518" i="20"/>
  <c r="G461" i="20"/>
  <c r="G493" i="20"/>
  <c r="G508" i="20"/>
  <c r="G513" i="20"/>
  <c r="G477" i="20"/>
  <c r="G510" i="20"/>
  <c r="G492" i="20"/>
  <c r="G460" i="20"/>
  <c r="G466" i="20"/>
  <c r="G480" i="20"/>
  <c r="G465" i="20"/>
  <c r="G459" i="20"/>
  <c r="G500" i="20"/>
  <c r="G505" i="20"/>
  <c r="G509" i="20"/>
  <c r="G498" i="20"/>
  <c r="G1386" i="20"/>
  <c r="I1345" i="20"/>
  <c r="G1530" i="20"/>
  <c r="G1362" i="20"/>
  <c r="G1379" i="20"/>
  <c r="G1534" i="20"/>
  <c r="G1452" i="20"/>
  <c r="G1548" i="20"/>
  <c r="G1554" i="20"/>
  <c r="G1562" i="20"/>
  <c r="G1481" i="20"/>
  <c r="G1576" i="20"/>
  <c r="G1494" i="20"/>
  <c r="G1375" i="20"/>
  <c r="G1402" i="20"/>
  <c r="G1388" i="20"/>
  <c r="G1396" i="20"/>
  <c r="G1385" i="20"/>
  <c r="G1446" i="20"/>
  <c r="G1542" i="20"/>
  <c r="G1460" i="20"/>
  <c r="G1467" i="20"/>
  <c r="G1474" i="20"/>
  <c r="G1569" i="20"/>
  <c r="G1488" i="20"/>
  <c r="G1495" i="20"/>
  <c r="G1394" i="20"/>
  <c r="G1443" i="20"/>
  <c r="G1357" i="20"/>
  <c r="G1408" i="20"/>
  <c r="G1389" i="20"/>
  <c r="G1535" i="20"/>
  <c r="G1453" i="20"/>
  <c r="G1549" i="20"/>
  <c r="G1556" i="20"/>
  <c r="G1563" i="20"/>
  <c r="G1570" i="20"/>
  <c r="G1577" i="20"/>
  <c r="G1584" i="20"/>
  <c r="G1382" i="20"/>
  <c r="G1531" i="20"/>
  <c r="G1365" i="20"/>
  <c r="G1353" i="20"/>
  <c r="G1349" i="20"/>
  <c r="G1536" i="20"/>
  <c r="G1454" i="20"/>
  <c r="G1550" i="20"/>
  <c r="G1468" i="20"/>
  <c r="G1475" i="20"/>
  <c r="G1482" i="20"/>
  <c r="G1489" i="20"/>
  <c r="G1585" i="20"/>
  <c r="G1401" i="20"/>
  <c r="G1551" i="20"/>
  <c r="G1439" i="20"/>
  <c r="G1356" i="20"/>
  <c r="N1336" i="20" s="1"/>
  <c r="G1406" i="20"/>
  <c r="G1380" i="20"/>
  <c r="G1370" i="20"/>
  <c r="G1447" i="20"/>
  <c r="G1543" i="20"/>
  <c r="G1461" i="20"/>
  <c r="G1557" i="20"/>
  <c r="G1476" i="20"/>
  <c r="G1571" i="20"/>
  <c r="G1578" i="20"/>
  <c r="G1496" i="20"/>
  <c r="G1537" i="20"/>
  <c r="G1558" i="20"/>
  <c r="G1572" i="20"/>
  <c r="G1490" i="20"/>
  <c r="G1374" i="20"/>
  <c r="G1378" i="20"/>
  <c r="G1399" i="20"/>
  <c r="G1395" i="20"/>
  <c r="G1352" i="20"/>
  <c r="G1448" i="20"/>
  <c r="G1455" i="20"/>
  <c r="G1462" i="20"/>
  <c r="G1469" i="20"/>
  <c r="G1564" i="20"/>
  <c r="G1483" i="20"/>
  <c r="G1579" i="20"/>
  <c r="G1586" i="20"/>
  <c r="G1444" i="20"/>
  <c r="G1398" i="20"/>
  <c r="G1393" i="20"/>
  <c r="G1528" i="20"/>
  <c r="G1372" i="20"/>
  <c r="G1381" i="20"/>
  <c r="G1373" i="20"/>
  <c r="G1397" i="20"/>
  <c r="G1403" i="20"/>
  <c r="G1538" i="20"/>
  <c r="G1456" i="20"/>
  <c r="G1463" i="20"/>
  <c r="G1559" i="20"/>
  <c r="G1565" i="20"/>
  <c r="G1484" i="20"/>
  <c r="G1491" i="20"/>
  <c r="G1351" i="20"/>
  <c r="G1384" i="20"/>
  <c r="G1355" i="20"/>
  <c r="G1376" i="20"/>
  <c r="G1387" i="20"/>
  <c r="G1404" i="20"/>
  <c r="G1450" i="20"/>
  <c r="G1546" i="20"/>
  <c r="G1553" i="20"/>
  <c r="G1560" i="20"/>
  <c r="G1567" i="20"/>
  <c r="G1574" i="20"/>
  <c r="G1581" i="20"/>
  <c r="G1440" i="20"/>
  <c r="G1354" i="20"/>
  <c r="G1367" i="20"/>
  <c r="G1383" i="20"/>
  <c r="G1361" i="20"/>
  <c r="G1533" i="20"/>
  <c r="G1540" i="20"/>
  <c r="G1458" i="20"/>
  <c r="G1465" i="20"/>
  <c r="G1472" i="20"/>
  <c r="G1480" i="20"/>
  <c r="G1486" i="20"/>
  <c r="G1493" i="20"/>
  <c r="G1391" i="20"/>
  <c r="G1449" i="20"/>
  <c r="G1471" i="20"/>
  <c r="G1582" i="20"/>
  <c r="G1566" i="20"/>
  <c r="G1485" i="20"/>
  <c r="G1360" i="20"/>
  <c r="G1539" i="20"/>
  <c r="G1561" i="20"/>
  <c r="G1583" i="20"/>
  <c r="G1527" i="20"/>
  <c r="G1451" i="20"/>
  <c r="G1473" i="20"/>
  <c r="G1497" i="20"/>
  <c r="G1532" i="20"/>
  <c r="G1442" i="20"/>
  <c r="G1358" i="20"/>
  <c r="G1470" i="20"/>
  <c r="G1350" i="20"/>
  <c r="G1541" i="20"/>
  <c r="G1477" i="20"/>
  <c r="G1544" i="20"/>
  <c r="G1457" i="20"/>
  <c r="G1441" i="20"/>
  <c r="G1552" i="20"/>
  <c r="G1369" i="20"/>
  <c r="G1479" i="20"/>
  <c r="G1459" i="20"/>
  <c r="G1492" i="20"/>
  <c r="G1438" i="20"/>
  <c r="G1363" i="20"/>
  <c r="G1545" i="20"/>
  <c r="G1478" i="20"/>
  <c r="G1407" i="20"/>
  <c r="G1573" i="20"/>
  <c r="G1529" i="20"/>
  <c r="G1377" i="20"/>
  <c r="G1368" i="20"/>
  <c r="G1547" i="20"/>
  <c r="G1568" i="20"/>
  <c r="G1364" i="20"/>
  <c r="G1400" i="20"/>
  <c r="G1392" i="20"/>
  <c r="G1371" i="20"/>
  <c r="G1464" i="20"/>
  <c r="G1575" i="20"/>
  <c r="G1359" i="20"/>
  <c r="G1366" i="20"/>
  <c r="G1580" i="20"/>
  <c r="G1390" i="20"/>
  <c r="G1405" i="20"/>
  <c r="G1555" i="20"/>
  <c r="G1487" i="20"/>
  <c r="G1466" i="20"/>
  <c r="G1445" i="20"/>
  <c r="G548" i="20"/>
  <c r="G559" i="20"/>
  <c r="G570" i="20"/>
  <c r="G564" i="20"/>
  <c r="G575" i="20"/>
  <c r="G556" i="20"/>
  <c r="G551" i="20"/>
  <c r="G596" i="20"/>
  <c r="G552" i="20"/>
  <c r="G557" i="20"/>
  <c r="G561" i="20"/>
  <c r="G572" i="20"/>
  <c r="G573" i="20"/>
  <c r="G560" i="20"/>
  <c r="G580" i="20"/>
  <c r="G577" i="20"/>
  <c r="G583" i="20"/>
  <c r="G593" i="20"/>
  <c r="G587" i="20"/>
  <c r="G606" i="20"/>
  <c r="G599" i="20"/>
  <c r="G597" i="20"/>
  <c r="G562" i="20"/>
  <c r="G607" i="20"/>
  <c r="G595" i="20"/>
  <c r="G567" i="20"/>
  <c r="G566" i="20"/>
  <c r="G603" i="20"/>
  <c r="G584" i="20"/>
  <c r="G574" i="20"/>
  <c r="G550" i="20"/>
  <c r="G558" i="20"/>
  <c r="N535" i="20" s="1"/>
  <c r="G585" i="20"/>
  <c r="I544" i="20"/>
  <c r="G594" i="20"/>
  <c r="G602" i="20"/>
  <c r="G555" i="20"/>
  <c r="G581" i="20"/>
  <c r="G588" i="20"/>
  <c r="G563" i="20"/>
  <c r="G565" i="20"/>
  <c r="G600" i="20"/>
  <c r="G578" i="20"/>
  <c r="G592" i="20"/>
  <c r="G590" i="20"/>
  <c r="G568" i="20"/>
  <c r="G569" i="20"/>
  <c r="G549" i="20"/>
  <c r="G598" i="20"/>
  <c r="G582" i="20"/>
  <c r="G553" i="20"/>
  <c r="G586" i="20"/>
  <c r="G589" i="20"/>
  <c r="G554" i="20"/>
  <c r="G591" i="20"/>
  <c r="G576" i="20"/>
  <c r="G605" i="20"/>
  <c r="G579" i="20"/>
  <c r="G601" i="20"/>
  <c r="G604" i="20"/>
  <c r="G571" i="20"/>
  <c r="G1017" i="20"/>
  <c r="G1001" i="20"/>
  <c r="G1033" i="20"/>
  <c r="G1041" i="20"/>
  <c r="G1030" i="20"/>
  <c r="G993" i="20"/>
  <c r="G1027" i="20"/>
  <c r="G1008" i="20"/>
  <c r="G999" i="20"/>
  <c r="G996" i="20"/>
  <c r="G1018" i="20"/>
  <c r="G998" i="20"/>
  <c r="G1039" i="20"/>
  <c r="G1048" i="20"/>
  <c r="G1005" i="20"/>
  <c r="N980" i="20" s="1"/>
  <c r="G1049" i="20"/>
  <c r="G1006" i="20"/>
  <c r="G1012" i="20"/>
  <c r="G1050" i="20"/>
  <c r="G994" i="20"/>
  <c r="G1020" i="20"/>
  <c r="G1011" i="20"/>
  <c r="G1003" i="20"/>
  <c r="G1021" i="20"/>
  <c r="G1035" i="20"/>
  <c r="G1013" i="20"/>
  <c r="G1025" i="20"/>
  <c r="G1031" i="20"/>
  <c r="G1019" i="20"/>
  <c r="G1014" i="20"/>
  <c r="G1032" i="20"/>
  <c r="G1002" i="20"/>
  <c r="G1024" i="20"/>
  <c r="G1015" i="20"/>
  <c r="G1046" i="20"/>
  <c r="G1045" i="20"/>
  <c r="G1051" i="20"/>
  <c r="G1047" i="20"/>
  <c r="G1042" i="20"/>
  <c r="G1040" i="20"/>
  <c r="G1082" i="20"/>
  <c r="G997" i="20"/>
  <c r="G1004" i="20"/>
  <c r="G1009" i="20"/>
  <c r="G1023" i="20"/>
  <c r="G1016" i="20"/>
  <c r="G1034" i="20"/>
  <c r="G1028" i="20"/>
  <c r="G995" i="20"/>
  <c r="G1038" i="20"/>
  <c r="G1037" i="20"/>
  <c r="G1010" i="20"/>
  <c r="G1007" i="20"/>
  <c r="G1000" i="20"/>
  <c r="G1044" i="20"/>
  <c r="G1026" i="20"/>
  <c r="G1052" i="20"/>
  <c r="G1036" i="20"/>
  <c r="I989" i="20"/>
  <c r="G1022" i="20"/>
  <c r="G1043" i="20"/>
  <c r="G1029" i="20"/>
  <c r="I137" i="13"/>
  <c r="J137" i="13" s="1"/>
  <c r="I102" i="13"/>
  <c r="I106" i="13"/>
  <c r="J106" i="13" s="1"/>
  <c r="I108" i="13"/>
  <c r="J108" i="13" s="1"/>
  <c r="I115" i="13"/>
  <c r="J115" i="13" s="1"/>
  <c r="I131" i="13"/>
  <c r="J131" i="13" s="1"/>
  <c r="I109" i="13"/>
  <c r="J109" i="13" s="1"/>
  <c r="I152" i="13"/>
  <c r="J152" i="13" s="1"/>
  <c r="I103" i="13"/>
  <c r="J103" i="13" s="1"/>
  <c r="I160" i="13"/>
  <c r="J160" i="13" s="1"/>
  <c r="I129" i="13"/>
  <c r="J129" i="13" s="1"/>
  <c r="I134" i="13"/>
  <c r="J134" i="13" s="1"/>
  <c r="I113" i="13"/>
  <c r="J113" i="13" s="1"/>
  <c r="I107" i="13"/>
  <c r="J107" i="13" s="1"/>
  <c r="I145" i="13"/>
  <c r="J145" i="13" s="1"/>
  <c r="I125" i="13"/>
  <c r="J125" i="13" s="1"/>
  <c r="I111" i="13"/>
  <c r="J111" i="13" s="1"/>
  <c r="I153" i="13"/>
  <c r="J153" i="13" s="1"/>
  <c r="I136" i="13"/>
  <c r="J136" i="13" s="1"/>
  <c r="I140" i="13"/>
  <c r="J140" i="13" s="1"/>
  <c r="I127" i="13"/>
  <c r="J127" i="13" s="1"/>
  <c r="I121" i="13"/>
  <c r="J121" i="13" s="1"/>
  <c r="I128" i="13"/>
  <c r="J128" i="13" s="1"/>
  <c r="I144" i="13"/>
  <c r="J144" i="13" s="1"/>
  <c r="I149" i="13"/>
  <c r="J149" i="13" s="1"/>
  <c r="I116" i="13"/>
  <c r="J116" i="13" s="1"/>
  <c r="I141" i="13"/>
  <c r="J141" i="13" s="1"/>
  <c r="I148" i="13"/>
  <c r="J148" i="13" s="1"/>
  <c r="I157" i="13"/>
  <c r="J157" i="13" s="1"/>
  <c r="I114" i="13"/>
  <c r="J114" i="13" s="1"/>
  <c r="I124" i="13"/>
  <c r="J124" i="13" s="1"/>
  <c r="I159" i="13"/>
  <c r="J159" i="13" s="1"/>
  <c r="I161" i="13"/>
  <c r="J161" i="13" s="1"/>
  <c r="I122" i="13"/>
  <c r="J122" i="13" s="1"/>
  <c r="I150" i="13"/>
  <c r="J150" i="13" s="1"/>
  <c r="I126" i="13"/>
  <c r="J126" i="13" s="1"/>
  <c r="I146" i="13"/>
  <c r="J146" i="13" s="1"/>
  <c r="I142" i="13"/>
  <c r="J142" i="13" s="1"/>
  <c r="I123" i="13"/>
  <c r="J123" i="13" s="1"/>
  <c r="I155" i="13"/>
  <c r="J155" i="13" s="1"/>
  <c r="I132" i="13"/>
  <c r="J132" i="13" s="1"/>
  <c r="I143" i="13"/>
  <c r="J143" i="13" s="1"/>
  <c r="I138" i="13"/>
  <c r="J138" i="13" s="1"/>
  <c r="I117" i="13"/>
  <c r="J117" i="13" s="1"/>
  <c r="I118" i="13"/>
  <c r="J118" i="13" s="1"/>
  <c r="I112" i="13"/>
  <c r="J112" i="13" s="1"/>
  <c r="I158" i="13"/>
  <c r="J158" i="13" s="1"/>
  <c r="I119" i="13"/>
  <c r="J119" i="13" s="1"/>
  <c r="I154" i="13"/>
  <c r="J154" i="13" s="1"/>
  <c r="I135" i="13"/>
  <c r="J135" i="13" s="1"/>
  <c r="I151" i="13"/>
  <c r="J151" i="13" s="1"/>
  <c r="I156" i="13"/>
  <c r="J156" i="13" s="1"/>
  <c r="I133" i="13"/>
  <c r="J133" i="13" s="1"/>
  <c r="I104" i="13"/>
  <c r="J104" i="13" s="1"/>
  <c r="I105" i="13"/>
  <c r="J105" i="13" s="1"/>
  <c r="I110" i="13"/>
  <c r="J110" i="13" s="1"/>
  <c r="I147" i="13"/>
  <c r="J147" i="13" s="1"/>
  <c r="I130" i="13"/>
  <c r="J130" i="13" s="1"/>
  <c r="I120" i="13"/>
  <c r="J120" i="13" s="1"/>
  <c r="I139" i="13"/>
  <c r="J139" i="13" s="1"/>
  <c r="G732" i="20"/>
  <c r="G756" i="20"/>
  <c r="G746" i="20"/>
  <c r="G765" i="20"/>
  <c r="G776" i="20"/>
  <c r="G773" i="20"/>
  <c r="G744" i="20"/>
  <c r="G770" i="20"/>
  <c r="G780" i="20"/>
  <c r="G753" i="20"/>
  <c r="G734" i="20"/>
  <c r="G759" i="20"/>
  <c r="G760" i="20"/>
  <c r="G757" i="20"/>
  <c r="G769" i="20"/>
  <c r="G738" i="20"/>
  <c r="G763" i="20"/>
  <c r="I722" i="20"/>
  <c r="G736" i="20"/>
  <c r="G737" i="20"/>
  <c r="N713" i="20" s="1"/>
  <c r="G735" i="20"/>
  <c r="G766" i="20"/>
  <c r="G762" i="20"/>
  <c r="G783" i="20"/>
  <c r="G729" i="20"/>
  <c r="G775" i="20"/>
  <c r="G726" i="20"/>
  <c r="G740" i="20"/>
  <c r="G771" i="20"/>
  <c r="G778" i="20"/>
  <c r="G784" i="20"/>
  <c r="G739" i="20"/>
  <c r="G758" i="20"/>
  <c r="G761" i="20"/>
  <c r="G752" i="20"/>
  <c r="G777" i="20"/>
  <c r="G779" i="20"/>
  <c r="G749" i="20"/>
  <c r="G741" i="20"/>
  <c r="G781" i="20"/>
  <c r="G743" i="20"/>
  <c r="G755" i="20"/>
  <c r="G772" i="20"/>
  <c r="G730" i="20"/>
  <c r="G733" i="20"/>
  <c r="G731" i="20"/>
  <c r="G747" i="20"/>
  <c r="G748" i="20"/>
  <c r="G750" i="20"/>
  <c r="G727" i="20"/>
  <c r="G764" i="20"/>
  <c r="G767" i="20"/>
  <c r="G754" i="20"/>
  <c r="G768" i="20"/>
  <c r="G742" i="20"/>
  <c r="G728" i="20"/>
  <c r="G785" i="20"/>
  <c r="G782" i="20"/>
  <c r="G745" i="20"/>
  <c r="G774" i="20"/>
  <c r="G751" i="20"/>
  <c r="G335" i="20"/>
  <c r="G307" i="20"/>
  <c r="G291" i="20"/>
  <c r="G309" i="20"/>
  <c r="I277" i="20"/>
  <c r="G327" i="20"/>
  <c r="G325" i="20"/>
  <c r="G312" i="20"/>
  <c r="G282" i="20"/>
  <c r="G281" i="20"/>
  <c r="G338" i="20"/>
  <c r="G295" i="20"/>
  <c r="G317" i="20"/>
  <c r="G315" i="20"/>
  <c r="G299" i="20"/>
  <c r="G297" i="20"/>
  <c r="G303" i="20"/>
  <c r="G331" i="20"/>
  <c r="G340" i="20"/>
  <c r="G330" i="20"/>
  <c r="G298" i="20"/>
  <c r="G292" i="20"/>
  <c r="G319" i="20"/>
  <c r="G311" i="20"/>
  <c r="G324" i="20"/>
  <c r="G304" i="20"/>
  <c r="G329" i="20"/>
  <c r="G294" i="20"/>
  <c r="G287" i="20"/>
  <c r="G334" i="20"/>
  <c r="G289" i="20"/>
  <c r="G321" i="20"/>
  <c r="G333" i="20"/>
  <c r="G314" i="20"/>
  <c r="G313" i="20"/>
  <c r="G336" i="20"/>
  <c r="G339" i="20"/>
  <c r="G290" i="20"/>
  <c r="G310" i="20"/>
  <c r="G302" i="20"/>
  <c r="G288" i="20"/>
  <c r="G318" i="20"/>
  <c r="G283" i="20"/>
  <c r="G293" i="20"/>
  <c r="N268" i="20" s="1"/>
  <c r="G320" i="20"/>
  <c r="G337" i="20"/>
  <c r="G316" i="20"/>
  <c r="G301" i="20"/>
  <c r="G322" i="20"/>
  <c r="G308" i="20"/>
  <c r="G328" i="20"/>
  <c r="G332" i="20"/>
  <c r="G306" i="20"/>
  <c r="G285" i="20"/>
  <c r="G323" i="20"/>
  <c r="G286" i="20"/>
  <c r="G326" i="20"/>
  <c r="G284" i="20"/>
  <c r="G296" i="20"/>
  <c r="G300" i="20"/>
  <c r="G305" i="20"/>
  <c r="G1314" i="20"/>
  <c r="G1304" i="20"/>
  <c r="G1277" i="20"/>
  <c r="G1299" i="20"/>
  <c r="G1267" i="20"/>
  <c r="G1319" i="20"/>
  <c r="G1301" i="20"/>
  <c r="G1292" i="20"/>
  <c r="G1305" i="20"/>
  <c r="G1315" i="20"/>
  <c r="G1270" i="20"/>
  <c r="N1247" i="20" s="1"/>
  <c r="G1265" i="20"/>
  <c r="G1308" i="20"/>
  <c r="I1256" i="20"/>
  <c r="G1263" i="20"/>
  <c r="G1309" i="20"/>
  <c r="G1264" i="20"/>
  <c r="G1276" i="20"/>
  <c r="G1294" i="20"/>
  <c r="G1284" i="20"/>
  <c r="G1298" i="20"/>
  <c r="G1282" i="20"/>
  <c r="G1260" i="20"/>
  <c r="G1297" i="20"/>
  <c r="G1317" i="20"/>
  <c r="G1269" i="20"/>
  <c r="G1302" i="20"/>
  <c r="G1287" i="20"/>
  <c r="G1291" i="20"/>
  <c r="G1290" i="20"/>
  <c r="G1295" i="20"/>
  <c r="G1272" i="20"/>
  <c r="G1279" i="20"/>
  <c r="G1303" i="20"/>
  <c r="G1311" i="20"/>
  <c r="G1266" i="20"/>
  <c r="G1275" i="20"/>
  <c r="G1271" i="20"/>
  <c r="G1316" i="20"/>
  <c r="G1313" i="20"/>
  <c r="G1268" i="20"/>
  <c r="G1288" i="20"/>
  <c r="G1300" i="20"/>
  <c r="G1280" i="20"/>
  <c r="G1285" i="20"/>
  <c r="G1289" i="20"/>
  <c r="G1307" i="20"/>
  <c r="G1261" i="20"/>
  <c r="G1310" i="20"/>
  <c r="G1273" i="20"/>
  <c r="G1274" i="20"/>
  <c r="G1278" i="20"/>
  <c r="G1262" i="20"/>
  <c r="G1293" i="20"/>
  <c r="G1312" i="20"/>
  <c r="G1296" i="20"/>
  <c r="G1306" i="20"/>
  <c r="G1281" i="20"/>
  <c r="G1318" i="20"/>
  <c r="G1286" i="20"/>
  <c r="G1283" i="20"/>
  <c r="G1202" i="20"/>
  <c r="G1210" i="20"/>
  <c r="G1205" i="20"/>
  <c r="G1227" i="20"/>
  <c r="G1186" i="20"/>
  <c r="G1213" i="20"/>
  <c r="G1197" i="20"/>
  <c r="G1184" i="20"/>
  <c r="G1178" i="20"/>
  <c r="G1185" i="20"/>
  <c r="G1223" i="20"/>
  <c r="G1194" i="20"/>
  <c r="G1193" i="20"/>
  <c r="G1191" i="20"/>
  <c r="G1173" i="20"/>
  <c r="G1215" i="20"/>
  <c r="G1224" i="20"/>
  <c r="G1182" i="20"/>
  <c r="G1204" i="20"/>
  <c r="G1208" i="20"/>
  <c r="G1200" i="20"/>
  <c r="G1179" i="20"/>
  <c r="N1158" i="20" s="1"/>
  <c r="G1177" i="20"/>
  <c r="G1171" i="20"/>
  <c r="G1195" i="20"/>
  <c r="G1229" i="20"/>
  <c r="G1203" i="20"/>
  <c r="G1190" i="20"/>
  <c r="G1230" i="20"/>
  <c r="G1176" i="20"/>
  <c r="G1201" i="20"/>
  <c r="G1220" i="20"/>
  <c r="G1216" i="20"/>
  <c r="G1199" i="20"/>
  <c r="G1181" i="20"/>
  <c r="I1167" i="20"/>
  <c r="G1196" i="20"/>
  <c r="G1172" i="20"/>
  <c r="G1198" i="20"/>
  <c r="G1187" i="20"/>
  <c r="G1228" i="20"/>
  <c r="G1189" i="20"/>
  <c r="G1222" i="20"/>
  <c r="G1221" i="20"/>
  <c r="G1175" i="20"/>
  <c r="G1183" i="20"/>
  <c r="G1188" i="20"/>
  <c r="G1180" i="20"/>
  <c r="G1192" i="20"/>
  <c r="G1226" i="20"/>
  <c r="G1225" i="20"/>
  <c r="G1174" i="20"/>
  <c r="G1214" i="20"/>
  <c r="G1217" i="20"/>
  <c r="G1207" i="20"/>
  <c r="G1209" i="20"/>
  <c r="G1212" i="20"/>
  <c r="G1211" i="20"/>
  <c r="G1219" i="20"/>
  <c r="G1218" i="20"/>
  <c r="G1206" i="20"/>
  <c r="G964" i="20" l="1"/>
  <c r="N1425" i="20"/>
  <c r="G1498" i="20"/>
  <c r="H678" i="20"/>
  <c r="I678" i="20" s="1"/>
  <c r="H669" i="20"/>
  <c r="I669" i="20" s="1"/>
  <c r="H696" i="20"/>
  <c r="I696" i="20" s="1"/>
  <c r="H643" i="20"/>
  <c r="I643" i="20" s="1"/>
  <c r="H657" i="20"/>
  <c r="I657" i="20" s="1"/>
  <c r="H653" i="20"/>
  <c r="I653" i="20" s="1"/>
  <c r="H682" i="20"/>
  <c r="I682" i="20" s="1"/>
  <c r="H648" i="20"/>
  <c r="I648" i="20" s="1"/>
  <c r="H662" i="20"/>
  <c r="I662" i="20" s="1"/>
  <c r="H664" i="20"/>
  <c r="I664" i="20" s="1"/>
  <c r="H668" i="20"/>
  <c r="I668" i="20" s="1"/>
  <c r="H688" i="20"/>
  <c r="I688" i="20" s="1"/>
  <c r="H656" i="20"/>
  <c r="I656" i="20" s="1"/>
  <c r="H663" i="20"/>
  <c r="I663" i="20" s="1"/>
  <c r="H647" i="20"/>
  <c r="H687" i="20"/>
  <c r="I687" i="20" s="1"/>
  <c r="H640" i="20"/>
  <c r="I640" i="20" s="1"/>
  <c r="H671" i="20"/>
  <c r="I671" i="20" s="1"/>
  <c r="H661" i="20"/>
  <c r="I661" i="20" s="1"/>
  <c r="H691" i="20"/>
  <c r="I691" i="20" s="1"/>
  <c r="H673" i="20"/>
  <c r="I673" i="20" s="1"/>
  <c r="H679" i="20"/>
  <c r="I679" i="20" s="1"/>
  <c r="H641" i="20"/>
  <c r="I641" i="20" s="1"/>
  <c r="H646" i="20"/>
  <c r="I646" i="20" s="1"/>
  <c r="H665" i="20"/>
  <c r="I665" i="20" s="1"/>
  <c r="H639" i="20"/>
  <c r="I639" i="20" s="1"/>
  <c r="H676" i="20"/>
  <c r="I676" i="20" s="1"/>
  <c r="H693" i="20"/>
  <c r="I693" i="20" s="1"/>
  <c r="H659" i="20"/>
  <c r="I659" i="20" s="1"/>
  <c r="H681" i="20"/>
  <c r="I681" i="20" s="1"/>
  <c r="H650" i="20"/>
  <c r="I650" i="20" s="1"/>
  <c r="H683" i="20"/>
  <c r="I683" i="20" s="1"/>
  <c r="H666" i="20"/>
  <c r="I666" i="20" s="1"/>
  <c r="H689" i="20"/>
  <c r="I689" i="20" s="1"/>
  <c r="H685" i="20"/>
  <c r="I685" i="20" s="1"/>
  <c r="H637" i="20"/>
  <c r="H638" i="20"/>
  <c r="I638" i="20" s="1"/>
  <c r="H649" i="20"/>
  <c r="I649" i="20" s="1"/>
  <c r="H645" i="20"/>
  <c r="I645" i="20" s="1"/>
  <c r="H670" i="20"/>
  <c r="I670" i="20" s="1"/>
  <c r="H654" i="20"/>
  <c r="I654" i="20" s="1"/>
  <c r="H660" i="20"/>
  <c r="I660" i="20" s="1"/>
  <c r="H694" i="20"/>
  <c r="I694" i="20" s="1"/>
  <c r="H644" i="20"/>
  <c r="I644" i="20" s="1"/>
  <c r="H655" i="20"/>
  <c r="I655" i="20" s="1"/>
  <c r="H658" i="20"/>
  <c r="I658" i="20" s="1"/>
  <c r="H651" i="20"/>
  <c r="I651" i="20" s="1"/>
  <c r="H667" i="20"/>
  <c r="I667" i="20" s="1"/>
  <c r="H672" i="20"/>
  <c r="I672" i="20" s="1"/>
  <c r="H684" i="20"/>
  <c r="I684" i="20" s="1"/>
  <c r="H675" i="20"/>
  <c r="I675" i="20" s="1"/>
  <c r="H680" i="20"/>
  <c r="I680" i="20" s="1"/>
  <c r="H642" i="20"/>
  <c r="I642" i="20" s="1"/>
  <c r="H695" i="20"/>
  <c r="I695" i="20" s="1"/>
  <c r="H674" i="20"/>
  <c r="I674" i="20" s="1"/>
  <c r="H677" i="20"/>
  <c r="I677" i="20" s="1"/>
  <c r="H652" i="20"/>
  <c r="I652" i="20" s="1"/>
  <c r="H686" i="20"/>
  <c r="I686" i="20" s="1"/>
  <c r="H692" i="20"/>
  <c r="I692" i="20" s="1"/>
  <c r="H690" i="20"/>
  <c r="I690" i="20" s="1"/>
  <c r="G697" i="20"/>
  <c r="G786" i="20"/>
  <c r="G162" i="20"/>
  <c r="G1409" i="20"/>
  <c r="G341" i="20"/>
  <c r="G1231" i="20"/>
  <c r="N1514" i="20"/>
  <c r="G1587" i="20"/>
  <c r="H397" i="20"/>
  <c r="I397" i="20" s="1"/>
  <c r="H398" i="20"/>
  <c r="I398" i="20" s="1"/>
  <c r="H418" i="20"/>
  <c r="I418" i="20" s="1"/>
  <c r="H376" i="20"/>
  <c r="I376" i="20" s="1"/>
  <c r="H402" i="20"/>
  <c r="I402" i="20" s="1"/>
  <c r="H378" i="20"/>
  <c r="I378" i="20" s="1"/>
  <c r="H419" i="20"/>
  <c r="I419" i="20" s="1"/>
  <c r="H391" i="20"/>
  <c r="I391" i="20" s="1"/>
  <c r="H380" i="20"/>
  <c r="I380" i="20" s="1"/>
  <c r="H374" i="20"/>
  <c r="I374" i="20" s="1"/>
  <c r="H388" i="20"/>
  <c r="I388" i="20" s="1"/>
  <c r="H377" i="20"/>
  <c r="I377" i="20" s="1"/>
  <c r="H375" i="20"/>
  <c r="I375" i="20" s="1"/>
  <c r="H399" i="20"/>
  <c r="I399" i="20" s="1"/>
  <c r="H413" i="20"/>
  <c r="I413" i="20" s="1"/>
  <c r="H392" i="20"/>
  <c r="I392" i="20" s="1"/>
  <c r="H394" i="20"/>
  <c r="I394" i="20" s="1"/>
  <c r="H428" i="20"/>
  <c r="I428" i="20" s="1"/>
  <c r="H427" i="20"/>
  <c r="I427" i="20" s="1"/>
  <c r="H396" i="20"/>
  <c r="I396" i="20" s="1"/>
  <c r="H381" i="20"/>
  <c r="I381" i="20" s="1"/>
  <c r="H371" i="20"/>
  <c r="I371" i="20" s="1"/>
  <c r="H412" i="20"/>
  <c r="I412" i="20" s="1"/>
  <c r="H404" i="20"/>
  <c r="I404" i="20" s="1"/>
  <c r="H416" i="20"/>
  <c r="I416" i="20" s="1"/>
  <c r="H403" i="20"/>
  <c r="I403" i="20" s="1"/>
  <c r="H382" i="20"/>
  <c r="H422" i="20"/>
  <c r="I422" i="20" s="1"/>
  <c r="H408" i="20"/>
  <c r="I408" i="20" s="1"/>
  <c r="H415" i="20"/>
  <c r="I415" i="20" s="1"/>
  <c r="H417" i="20"/>
  <c r="I417" i="20" s="1"/>
  <c r="H383" i="20"/>
  <c r="I383" i="20" s="1"/>
  <c r="H372" i="20"/>
  <c r="I372" i="20" s="1"/>
  <c r="H401" i="20"/>
  <c r="I401" i="20" s="1"/>
  <c r="H370" i="20"/>
  <c r="H389" i="20"/>
  <c r="I389" i="20" s="1"/>
  <c r="H393" i="20"/>
  <c r="I393" i="20" s="1"/>
  <c r="H410" i="20"/>
  <c r="I410" i="20" s="1"/>
  <c r="H424" i="20"/>
  <c r="I424" i="20" s="1"/>
  <c r="H429" i="20"/>
  <c r="I429" i="20" s="1"/>
  <c r="H373" i="20"/>
  <c r="I373" i="20" s="1"/>
  <c r="H407" i="20"/>
  <c r="I407" i="20" s="1"/>
  <c r="H423" i="20"/>
  <c r="I423" i="20" s="1"/>
  <c r="H384" i="20"/>
  <c r="I384" i="20" s="1"/>
  <c r="H414" i="20"/>
  <c r="I414" i="20" s="1"/>
  <c r="H385" i="20"/>
  <c r="I385" i="20" s="1"/>
  <c r="H425" i="20"/>
  <c r="I425" i="20" s="1"/>
  <c r="H400" i="20"/>
  <c r="I400" i="20" s="1"/>
  <c r="H409" i="20"/>
  <c r="I409" i="20" s="1"/>
  <c r="H405" i="20"/>
  <c r="I405" i="20" s="1"/>
  <c r="H390" i="20"/>
  <c r="I390" i="20" s="1"/>
  <c r="H421" i="20"/>
  <c r="I421" i="20" s="1"/>
  <c r="H386" i="20"/>
  <c r="H395" i="20"/>
  <c r="I395" i="20" s="1"/>
  <c r="H426" i="20"/>
  <c r="I426" i="20" s="1"/>
  <c r="H379" i="20"/>
  <c r="I379" i="20" s="1"/>
  <c r="H411" i="20"/>
  <c r="I411" i="20" s="1"/>
  <c r="H387" i="20"/>
  <c r="I387" i="20" s="1"/>
  <c r="H406" i="20"/>
  <c r="I406" i="20" s="1"/>
  <c r="H420" i="20"/>
  <c r="I420" i="20" s="1"/>
  <c r="J102" i="13"/>
  <c r="J162" i="13" s="1"/>
  <c r="I162" i="13"/>
  <c r="H329" i="20"/>
  <c r="I329" i="20" s="1"/>
  <c r="H311" i="20"/>
  <c r="I311" i="20" s="1"/>
  <c r="H319" i="20"/>
  <c r="I319" i="20" s="1"/>
  <c r="H297" i="20"/>
  <c r="I297" i="20" s="1"/>
  <c r="H324" i="20"/>
  <c r="I324" i="20" s="1"/>
  <c r="H337" i="20"/>
  <c r="I337" i="20" s="1"/>
  <c r="H320" i="20"/>
  <c r="I320" i="20" s="1"/>
  <c r="H325" i="20"/>
  <c r="I325" i="20" s="1"/>
  <c r="H293" i="20"/>
  <c r="H332" i="20"/>
  <c r="I332" i="20" s="1"/>
  <c r="H314" i="20"/>
  <c r="I314" i="20" s="1"/>
  <c r="H331" i="20"/>
  <c r="I331" i="20" s="1"/>
  <c r="H309" i="20"/>
  <c r="I309" i="20" s="1"/>
  <c r="H338" i="20"/>
  <c r="I338" i="20" s="1"/>
  <c r="H340" i="20"/>
  <c r="I340" i="20" s="1"/>
  <c r="H326" i="20"/>
  <c r="I326" i="20" s="1"/>
  <c r="H322" i="20"/>
  <c r="I322" i="20" s="1"/>
  <c r="H310" i="20"/>
  <c r="I310" i="20" s="1"/>
  <c r="H317" i="20"/>
  <c r="I317" i="20" s="1"/>
  <c r="H284" i="20"/>
  <c r="I284" i="20" s="1"/>
  <c r="H335" i="20"/>
  <c r="I335" i="20" s="1"/>
  <c r="H302" i="20"/>
  <c r="I302" i="20" s="1"/>
  <c r="H287" i="20"/>
  <c r="I287" i="20" s="1"/>
  <c r="H327" i="20"/>
  <c r="I327" i="20" s="1"/>
  <c r="H316" i="20"/>
  <c r="I316" i="20" s="1"/>
  <c r="H333" i="20"/>
  <c r="I333" i="20" s="1"/>
  <c r="H304" i="20"/>
  <c r="I304" i="20" s="1"/>
  <c r="H328" i="20"/>
  <c r="I328" i="20" s="1"/>
  <c r="H305" i="20"/>
  <c r="I305" i="20" s="1"/>
  <c r="H303" i="20"/>
  <c r="I303" i="20" s="1"/>
  <c r="H285" i="20"/>
  <c r="I285" i="20" s="1"/>
  <c r="H290" i="20"/>
  <c r="I290" i="20" s="1"/>
  <c r="H292" i="20"/>
  <c r="I292" i="20" s="1"/>
  <c r="H339" i="20"/>
  <c r="I339" i="20" s="1"/>
  <c r="H315" i="20"/>
  <c r="I315" i="20" s="1"/>
  <c r="H308" i="20"/>
  <c r="I308" i="20" s="1"/>
  <c r="H296" i="20"/>
  <c r="I296" i="20" s="1"/>
  <c r="H281" i="20"/>
  <c r="H295" i="20"/>
  <c r="I295" i="20" s="1"/>
  <c r="H330" i="20"/>
  <c r="I330" i="20" s="1"/>
  <c r="H312" i="20"/>
  <c r="I312" i="20" s="1"/>
  <c r="H301" i="20"/>
  <c r="I301" i="20" s="1"/>
  <c r="H300" i="20"/>
  <c r="I300" i="20" s="1"/>
  <c r="H288" i="20"/>
  <c r="I288" i="20" s="1"/>
  <c r="H299" i="20"/>
  <c r="I299" i="20" s="1"/>
  <c r="H294" i="20"/>
  <c r="I294" i="20" s="1"/>
  <c r="H323" i="20"/>
  <c r="I323" i="20" s="1"/>
  <c r="H289" i="20"/>
  <c r="I289" i="20" s="1"/>
  <c r="H313" i="20"/>
  <c r="I313" i="20" s="1"/>
  <c r="H286" i="20"/>
  <c r="I286" i="20" s="1"/>
  <c r="H283" i="20"/>
  <c r="I283" i="20" s="1"/>
  <c r="H298" i="20"/>
  <c r="I298" i="20" s="1"/>
  <c r="H318" i="20"/>
  <c r="I318" i="20" s="1"/>
  <c r="H282" i="20"/>
  <c r="I282" i="20" s="1"/>
  <c r="H307" i="20"/>
  <c r="I307" i="20" s="1"/>
  <c r="H291" i="20"/>
  <c r="I291" i="20" s="1"/>
  <c r="H306" i="20"/>
  <c r="I306" i="20" s="1"/>
  <c r="H336" i="20"/>
  <c r="I336" i="20" s="1"/>
  <c r="H334" i="20"/>
  <c r="I334" i="20" s="1"/>
  <c r="H321" i="20"/>
  <c r="I321" i="20" s="1"/>
  <c r="H1198" i="20"/>
  <c r="I1198" i="20" s="1"/>
  <c r="H1180" i="20"/>
  <c r="I1180" i="20" s="1"/>
  <c r="H1184" i="20"/>
  <c r="I1184" i="20" s="1"/>
  <c r="H1197" i="20"/>
  <c r="I1197" i="20" s="1"/>
  <c r="H1221" i="20"/>
  <c r="I1221" i="20" s="1"/>
  <c r="H1222" i="20"/>
  <c r="I1222" i="20" s="1"/>
  <c r="H1225" i="20"/>
  <c r="I1225" i="20" s="1"/>
  <c r="H1172" i="20"/>
  <c r="I1172" i="20" s="1"/>
  <c r="H1174" i="20"/>
  <c r="I1174" i="20" s="1"/>
  <c r="H1179" i="20"/>
  <c r="H1215" i="20"/>
  <c r="I1215" i="20" s="1"/>
  <c r="H1200" i="20"/>
  <c r="I1200" i="20" s="1"/>
  <c r="H1211" i="20"/>
  <c r="I1211" i="20" s="1"/>
  <c r="H1229" i="20"/>
  <c r="I1229" i="20" s="1"/>
  <c r="H1192" i="20"/>
  <c r="I1192" i="20" s="1"/>
  <c r="H1191" i="20"/>
  <c r="I1191" i="20" s="1"/>
  <c r="H1188" i="20"/>
  <c r="I1188" i="20" s="1"/>
  <c r="H1202" i="20"/>
  <c r="I1202" i="20" s="1"/>
  <c r="H1217" i="20"/>
  <c r="I1217" i="20" s="1"/>
  <c r="H1220" i="20"/>
  <c r="I1220" i="20" s="1"/>
  <c r="H1193" i="20"/>
  <c r="I1193" i="20" s="1"/>
  <c r="H1207" i="20"/>
  <c r="I1207" i="20" s="1"/>
  <c r="H1218" i="20"/>
  <c r="I1218" i="20" s="1"/>
  <c r="H1208" i="20"/>
  <c r="I1208" i="20" s="1"/>
  <c r="H1209" i="20"/>
  <c r="I1209" i="20" s="1"/>
  <c r="H1187" i="20"/>
  <c r="I1187" i="20" s="1"/>
  <c r="H1190" i="20"/>
  <c r="I1190" i="20" s="1"/>
  <c r="H1201" i="20"/>
  <c r="I1201" i="20" s="1"/>
  <c r="H1195" i="20"/>
  <c r="I1195" i="20" s="1"/>
  <c r="H1185" i="20"/>
  <c r="I1185" i="20" s="1"/>
  <c r="H1213" i="20"/>
  <c r="I1213" i="20" s="1"/>
  <c r="H1175" i="20"/>
  <c r="I1175" i="20" s="1"/>
  <c r="H1182" i="20"/>
  <c r="I1182" i="20" s="1"/>
  <c r="H1205" i="20"/>
  <c r="I1205" i="20" s="1"/>
  <c r="H1226" i="20"/>
  <c r="I1226" i="20" s="1"/>
  <c r="H1178" i="20"/>
  <c r="I1178" i="20" s="1"/>
  <c r="H1216" i="20"/>
  <c r="I1216" i="20" s="1"/>
  <c r="H1230" i="20"/>
  <c r="I1230" i="20" s="1"/>
  <c r="H1176" i="20"/>
  <c r="I1176" i="20" s="1"/>
  <c r="H1194" i="20"/>
  <c r="I1194" i="20" s="1"/>
  <c r="H1224" i="20"/>
  <c r="I1224" i="20" s="1"/>
  <c r="H1203" i="20"/>
  <c r="I1203" i="20" s="1"/>
  <c r="H1186" i="20"/>
  <c r="I1186" i="20" s="1"/>
  <c r="H1228" i="20"/>
  <c r="I1228" i="20" s="1"/>
  <c r="H1212" i="20"/>
  <c r="I1212" i="20" s="1"/>
  <c r="H1214" i="20"/>
  <c r="I1214" i="20" s="1"/>
  <c r="H1177" i="20"/>
  <c r="I1177" i="20" s="1"/>
  <c r="H1189" i="20"/>
  <c r="I1189" i="20" s="1"/>
  <c r="H1219" i="20"/>
  <c r="I1219" i="20" s="1"/>
  <c r="H1223" i="20"/>
  <c r="I1223" i="20" s="1"/>
  <c r="H1196" i="20"/>
  <c r="I1196" i="20" s="1"/>
  <c r="H1210" i="20"/>
  <c r="I1210" i="20" s="1"/>
  <c r="H1171" i="20"/>
  <c r="H1206" i="20"/>
  <c r="I1206" i="20" s="1"/>
  <c r="H1227" i="20"/>
  <c r="I1227" i="20" s="1"/>
  <c r="H1181" i="20"/>
  <c r="I1181" i="20" s="1"/>
  <c r="H1204" i="20"/>
  <c r="I1204" i="20" s="1"/>
  <c r="H1183" i="20"/>
  <c r="I1183" i="20" s="1"/>
  <c r="H1173" i="20"/>
  <c r="I1173" i="20" s="1"/>
  <c r="H1199" i="20"/>
  <c r="I1199" i="20" s="1"/>
  <c r="H1529" i="20"/>
  <c r="I1529" i="20" s="1"/>
  <c r="H1362" i="20"/>
  <c r="I1362" i="20" s="1"/>
  <c r="H1440" i="20"/>
  <c r="I1440" i="20" s="1"/>
  <c r="H1372" i="20"/>
  <c r="I1372" i="20" s="1"/>
  <c r="H1357" i="20"/>
  <c r="I1357" i="20" s="1"/>
  <c r="H1447" i="20"/>
  <c r="I1447" i="20" s="1"/>
  <c r="H1454" i="20"/>
  <c r="I1454" i="20" s="1"/>
  <c r="H1461" i="20"/>
  <c r="I1461" i="20" s="1"/>
  <c r="H1469" i="20"/>
  <c r="I1469" i="20" s="1"/>
  <c r="H1476" i="20"/>
  <c r="I1476" i="20" s="1"/>
  <c r="H1571" i="20"/>
  <c r="I1571" i="20" s="1"/>
  <c r="H1578" i="20"/>
  <c r="I1578" i="20" s="1"/>
  <c r="H1496" i="20"/>
  <c r="I1496" i="20" s="1"/>
  <c r="H1553" i="20"/>
  <c r="I1553" i="20" s="1"/>
  <c r="H1451" i="20"/>
  <c r="I1451" i="20" s="1"/>
  <c r="H1395" i="20"/>
  <c r="I1395" i="20" s="1"/>
  <c r="H1570" i="20"/>
  <c r="I1570" i="20" s="1"/>
  <c r="H1366" i="20"/>
  <c r="I1366" i="20" s="1"/>
  <c r="H1393" i="20"/>
  <c r="I1393" i="20" s="1"/>
  <c r="H1384" i="20"/>
  <c r="I1384" i="20" s="1"/>
  <c r="H1373" i="20"/>
  <c r="I1373" i="20" s="1"/>
  <c r="H1355" i="20"/>
  <c r="I1355" i="20" s="1"/>
  <c r="H1448" i="20"/>
  <c r="I1448" i="20" s="1"/>
  <c r="H1544" i="20"/>
  <c r="I1544" i="20" s="1"/>
  <c r="H1551" i="20"/>
  <c r="I1551" i="20" s="1"/>
  <c r="H1557" i="20"/>
  <c r="I1557" i="20" s="1"/>
  <c r="H1564" i="20"/>
  <c r="I1564" i="20" s="1"/>
  <c r="H1483" i="20"/>
  <c r="I1483" i="20" s="1"/>
  <c r="H1490" i="20"/>
  <c r="I1490" i="20" s="1"/>
  <c r="H1586" i="20"/>
  <c r="I1586" i="20" s="1"/>
  <c r="H1399" i="20"/>
  <c r="I1399" i="20" s="1"/>
  <c r="H1378" i="20"/>
  <c r="I1378" i="20" s="1"/>
  <c r="H1443" i="20"/>
  <c r="I1443" i="20" s="1"/>
  <c r="H1383" i="20"/>
  <c r="I1383" i="20" s="1"/>
  <c r="H1545" i="20"/>
  <c r="I1545" i="20" s="1"/>
  <c r="H1552" i="20"/>
  <c r="I1552" i="20" s="1"/>
  <c r="H1559" i="20"/>
  <c r="I1559" i="20" s="1"/>
  <c r="H1580" i="20"/>
  <c r="I1580" i="20" s="1"/>
  <c r="H1546" i="20"/>
  <c r="I1546" i="20" s="1"/>
  <c r="H1352" i="20"/>
  <c r="I1352" i="20" s="1"/>
  <c r="H1388" i="20"/>
  <c r="I1388" i="20" s="1"/>
  <c r="H1391" i="20"/>
  <c r="I1391" i="20" s="1"/>
  <c r="H1439" i="20"/>
  <c r="I1439" i="20" s="1"/>
  <c r="H1404" i="20"/>
  <c r="I1404" i="20" s="1"/>
  <c r="H1531" i="20"/>
  <c r="I1531" i="20" s="1"/>
  <c r="H1350" i="20"/>
  <c r="I1350" i="20" s="1"/>
  <c r="H1397" i="20"/>
  <c r="I1397" i="20" s="1"/>
  <c r="H1537" i="20"/>
  <c r="I1537" i="20" s="1"/>
  <c r="H1455" i="20"/>
  <c r="I1455" i="20" s="1"/>
  <c r="H1462" i="20"/>
  <c r="I1462" i="20" s="1"/>
  <c r="H1558" i="20"/>
  <c r="I1558" i="20" s="1"/>
  <c r="H1477" i="20"/>
  <c r="I1477" i="20" s="1"/>
  <c r="H1572" i="20"/>
  <c r="I1572" i="20" s="1"/>
  <c r="H1579" i="20"/>
  <c r="I1579" i="20" s="1"/>
  <c r="H1497" i="20"/>
  <c r="I1497" i="20" s="1"/>
  <c r="H1361" i="20"/>
  <c r="I1361" i="20" s="1"/>
  <c r="H1532" i="20"/>
  <c r="I1532" i="20" s="1"/>
  <c r="H1441" i="20"/>
  <c r="I1441" i="20" s="1"/>
  <c r="H1406" i="20"/>
  <c r="I1406" i="20" s="1"/>
  <c r="H1449" i="20"/>
  <c r="I1449" i="20" s="1"/>
  <c r="H1456" i="20"/>
  <c r="I1456" i="20" s="1"/>
  <c r="H1463" i="20"/>
  <c r="I1463" i="20" s="1"/>
  <c r="H1470" i="20"/>
  <c r="I1470" i="20" s="1"/>
  <c r="H1565" i="20"/>
  <c r="I1565" i="20" s="1"/>
  <c r="H1484" i="20"/>
  <c r="I1484" i="20" s="1"/>
  <c r="H1351" i="20"/>
  <c r="I1351" i="20" s="1"/>
  <c r="H1566" i="20"/>
  <c r="I1566" i="20" s="1"/>
  <c r="H1407" i="20"/>
  <c r="I1407" i="20" s="1"/>
  <c r="H1358" i="20"/>
  <c r="I1358" i="20" s="1"/>
  <c r="H1396" i="20"/>
  <c r="I1396" i="20" s="1"/>
  <c r="H1560" i="20"/>
  <c r="I1560" i="20" s="1"/>
  <c r="H1581" i="20"/>
  <c r="I1581" i="20" s="1"/>
  <c r="H1356" i="20"/>
  <c r="H1575" i="20"/>
  <c r="I1575" i="20" s="1"/>
  <c r="H1438" i="20"/>
  <c r="H1466" i="20"/>
  <c r="I1466" i="20" s="1"/>
  <c r="H1363" i="20"/>
  <c r="I1363" i="20" s="1"/>
  <c r="H1382" i="20"/>
  <c r="I1382" i="20" s="1"/>
  <c r="H1543" i="20"/>
  <c r="I1543" i="20" s="1"/>
  <c r="H1475" i="20"/>
  <c r="I1475" i="20" s="1"/>
  <c r="H1489" i="20"/>
  <c r="I1489" i="20" s="1"/>
  <c r="H1394" i="20"/>
  <c r="I1394" i="20" s="1"/>
  <c r="H1491" i="20"/>
  <c r="I1491" i="20" s="1"/>
  <c r="H1538" i="20"/>
  <c r="I1538" i="20" s="1"/>
  <c r="H1573" i="20"/>
  <c r="I1573" i="20" s="1"/>
  <c r="H1368" i="20"/>
  <c r="I1368" i="20" s="1"/>
  <c r="H1386" i="20"/>
  <c r="I1386" i="20" s="1"/>
  <c r="H1583" i="20"/>
  <c r="I1583" i="20" s="1"/>
  <c r="H1550" i="20"/>
  <c r="I1550" i="20" s="1"/>
  <c r="H1390" i="20"/>
  <c r="I1390" i="20" s="1"/>
  <c r="H1450" i="20"/>
  <c r="I1450" i="20" s="1"/>
  <c r="H1567" i="20"/>
  <c r="I1567" i="20" s="1"/>
  <c r="H1442" i="20"/>
  <c r="I1442" i="20" s="1"/>
  <c r="H1401" i="20"/>
  <c r="I1401" i="20" s="1"/>
  <c r="H1528" i="20"/>
  <c r="I1528" i="20" s="1"/>
  <c r="H1547" i="20"/>
  <c r="I1547" i="20" s="1"/>
  <c r="H1561" i="20"/>
  <c r="I1561" i="20" s="1"/>
  <c r="H1582" i="20"/>
  <c r="I1582" i="20" s="1"/>
  <c r="H1353" i="20"/>
  <c r="I1353" i="20" s="1"/>
  <c r="H1379" i="20"/>
  <c r="I1379" i="20" s="1"/>
  <c r="H1530" i="20"/>
  <c r="I1530" i="20" s="1"/>
  <c r="H1541" i="20"/>
  <c r="I1541" i="20" s="1"/>
  <c r="H1473" i="20"/>
  <c r="I1473" i="20" s="1"/>
  <c r="H1568" i="20"/>
  <c r="I1568" i="20" s="1"/>
  <c r="H1487" i="20"/>
  <c r="I1487" i="20" s="1"/>
  <c r="H1445" i="20"/>
  <c r="I1445" i="20" s="1"/>
  <c r="H1533" i="20"/>
  <c r="I1533" i="20" s="1"/>
  <c r="H1444" i="20"/>
  <c r="I1444" i="20" s="1"/>
  <c r="H1369" i="20"/>
  <c r="I1369" i="20" s="1"/>
  <c r="H1398" i="20"/>
  <c r="I1398" i="20" s="1"/>
  <c r="H1377" i="20"/>
  <c r="I1377" i="20" s="1"/>
  <c r="H1402" i="20"/>
  <c r="I1402" i="20" s="1"/>
  <c r="H1539" i="20"/>
  <c r="I1539" i="20" s="1"/>
  <c r="H1457" i="20"/>
  <c r="I1457" i="20" s="1"/>
  <c r="H1464" i="20"/>
  <c r="I1464" i="20" s="1"/>
  <c r="H1471" i="20"/>
  <c r="I1471" i="20" s="1"/>
  <c r="H1478" i="20"/>
  <c r="I1478" i="20" s="1"/>
  <c r="H1485" i="20"/>
  <c r="I1485" i="20" s="1"/>
  <c r="H1492" i="20"/>
  <c r="I1492" i="20" s="1"/>
  <c r="H1405" i="20"/>
  <c r="I1405" i="20" s="1"/>
  <c r="H1574" i="20"/>
  <c r="I1574" i="20" s="1"/>
  <c r="H1555" i="20"/>
  <c r="I1555" i="20" s="1"/>
  <c r="H1370" i="20"/>
  <c r="I1370" i="20" s="1"/>
  <c r="H1468" i="20"/>
  <c r="I1468" i="20" s="1"/>
  <c r="H1374" i="20"/>
  <c r="I1374" i="20" s="1"/>
  <c r="H1375" i="20"/>
  <c r="I1375" i="20" s="1"/>
  <c r="H1364" i="20"/>
  <c r="I1364" i="20" s="1"/>
  <c r="H1381" i="20"/>
  <c r="I1381" i="20" s="1"/>
  <c r="H1376" i="20"/>
  <c r="I1376" i="20" s="1"/>
  <c r="H1365" i="20"/>
  <c r="I1365" i="20" s="1"/>
  <c r="H1540" i="20"/>
  <c r="I1540" i="20" s="1"/>
  <c r="H1458" i="20"/>
  <c r="I1458" i="20" s="1"/>
  <c r="H1465" i="20"/>
  <c r="I1465" i="20" s="1"/>
  <c r="H1472" i="20"/>
  <c r="I1472" i="20" s="1"/>
  <c r="H1479" i="20"/>
  <c r="I1479" i="20" s="1"/>
  <c r="H1486" i="20"/>
  <c r="I1486" i="20" s="1"/>
  <c r="H1493" i="20"/>
  <c r="I1493" i="20" s="1"/>
  <c r="H1480" i="20"/>
  <c r="I1480" i="20" s="1"/>
  <c r="H1459" i="20"/>
  <c r="I1459" i="20" s="1"/>
  <c r="H1536" i="20"/>
  <c r="I1536" i="20" s="1"/>
  <c r="H1385" i="20"/>
  <c r="I1385" i="20" s="1"/>
  <c r="H1408" i="20"/>
  <c r="I1408" i="20" s="1"/>
  <c r="H1359" i="20"/>
  <c r="I1359" i="20" s="1"/>
  <c r="H1400" i="20"/>
  <c r="I1400" i="20" s="1"/>
  <c r="H1403" i="20"/>
  <c r="I1403" i="20" s="1"/>
  <c r="H1534" i="20"/>
  <c r="I1534" i="20" s="1"/>
  <c r="H1452" i="20"/>
  <c r="I1452" i="20" s="1"/>
  <c r="H1548" i="20"/>
  <c r="I1548" i="20" s="1"/>
  <c r="H1554" i="20"/>
  <c r="I1554" i="20" s="1"/>
  <c r="H1562" i="20"/>
  <c r="I1562" i="20" s="1"/>
  <c r="H1481" i="20"/>
  <c r="I1481" i="20" s="1"/>
  <c r="H1576" i="20"/>
  <c r="I1576" i="20" s="1"/>
  <c r="H1494" i="20"/>
  <c r="I1494" i="20" s="1"/>
  <c r="H1354" i="20"/>
  <c r="I1354" i="20" s="1"/>
  <c r="H1446" i="20"/>
  <c r="I1446" i="20" s="1"/>
  <c r="H1460" i="20"/>
  <c r="I1460" i="20" s="1"/>
  <c r="H1556" i="20"/>
  <c r="I1556" i="20" s="1"/>
  <c r="H1569" i="20"/>
  <c r="I1569" i="20" s="1"/>
  <c r="H1488" i="20"/>
  <c r="I1488" i="20" s="1"/>
  <c r="H1495" i="20"/>
  <c r="I1495" i="20" s="1"/>
  <c r="H1389" i="20"/>
  <c r="I1389" i="20" s="1"/>
  <c r="H1360" i="20"/>
  <c r="I1360" i="20" s="1"/>
  <c r="H1387" i="20"/>
  <c r="I1387" i="20" s="1"/>
  <c r="H1453" i="20"/>
  <c r="I1453" i="20" s="1"/>
  <c r="H1467" i="20"/>
  <c r="I1467" i="20" s="1"/>
  <c r="H1482" i="20"/>
  <c r="I1482" i="20" s="1"/>
  <c r="H1584" i="20"/>
  <c r="I1584" i="20" s="1"/>
  <c r="H1585" i="20"/>
  <c r="I1585" i="20" s="1"/>
  <c r="H1367" i="20"/>
  <c r="I1367" i="20" s="1"/>
  <c r="H1527" i="20"/>
  <c r="H1392" i="20"/>
  <c r="I1392" i="20" s="1"/>
  <c r="H1380" i="20"/>
  <c r="I1380" i="20" s="1"/>
  <c r="H1542" i="20"/>
  <c r="I1542" i="20" s="1"/>
  <c r="H1474" i="20"/>
  <c r="I1474" i="20" s="1"/>
  <c r="H1371" i="20"/>
  <c r="I1371" i="20" s="1"/>
  <c r="H1349" i="20"/>
  <c r="H1535" i="20"/>
  <c r="I1535" i="20" s="1"/>
  <c r="H1549" i="20"/>
  <c r="I1549" i="20" s="1"/>
  <c r="H1563" i="20"/>
  <c r="I1563" i="20" s="1"/>
  <c r="H1577" i="20"/>
  <c r="I1577" i="20" s="1"/>
  <c r="H930" i="20"/>
  <c r="I930" i="20" s="1"/>
  <c r="H956" i="20"/>
  <c r="I956" i="20" s="1"/>
  <c r="H915" i="20"/>
  <c r="I915" i="20" s="1"/>
  <c r="H929" i="20"/>
  <c r="I929" i="20" s="1"/>
  <c r="H925" i="20"/>
  <c r="I925" i="20" s="1"/>
  <c r="H947" i="20"/>
  <c r="I947" i="20" s="1"/>
  <c r="H906" i="20"/>
  <c r="I906" i="20" s="1"/>
  <c r="H945" i="20"/>
  <c r="I945" i="20" s="1"/>
  <c r="H919" i="20"/>
  <c r="I919" i="20" s="1"/>
  <c r="H913" i="20"/>
  <c r="I913" i="20" s="1"/>
  <c r="H940" i="20"/>
  <c r="I940" i="20" s="1"/>
  <c r="H955" i="20"/>
  <c r="I955" i="20" s="1"/>
  <c r="H910" i="20"/>
  <c r="I910" i="20" s="1"/>
  <c r="H912" i="20"/>
  <c r="I912" i="20" s="1"/>
  <c r="H928" i="20"/>
  <c r="I928" i="20" s="1"/>
  <c r="H938" i="20"/>
  <c r="I938" i="20" s="1"/>
  <c r="H917" i="20"/>
  <c r="I917" i="20" s="1"/>
  <c r="H927" i="20"/>
  <c r="I927" i="20" s="1"/>
  <c r="H935" i="20"/>
  <c r="I935" i="20" s="1"/>
  <c r="H921" i="20"/>
  <c r="I921" i="20" s="1"/>
  <c r="H961" i="20"/>
  <c r="I961" i="20" s="1"/>
  <c r="H920" i="20"/>
  <c r="I920" i="20" s="1"/>
  <c r="H963" i="20"/>
  <c r="I963" i="20" s="1"/>
  <c r="H957" i="20"/>
  <c r="I957" i="20" s="1"/>
  <c r="H953" i="20"/>
  <c r="I953" i="20" s="1"/>
  <c r="H962" i="20"/>
  <c r="I962" i="20" s="1"/>
  <c r="H939" i="20"/>
  <c r="I939" i="20" s="1"/>
  <c r="H952" i="20"/>
  <c r="I952" i="20" s="1"/>
  <c r="H946" i="20"/>
  <c r="I946" i="20" s="1"/>
  <c r="H931" i="20"/>
  <c r="I931" i="20" s="1"/>
  <c r="H918" i="20"/>
  <c r="I918" i="20" s="1"/>
  <c r="H944" i="20"/>
  <c r="I944" i="20" s="1"/>
  <c r="H926" i="20"/>
  <c r="I926" i="20" s="1"/>
  <c r="H904" i="20"/>
  <c r="H932" i="20"/>
  <c r="I932" i="20" s="1"/>
  <c r="H933" i="20"/>
  <c r="I933" i="20" s="1"/>
  <c r="H960" i="20"/>
  <c r="I960" i="20" s="1"/>
  <c r="H950" i="20"/>
  <c r="I950" i="20" s="1"/>
  <c r="H922" i="20"/>
  <c r="I922" i="20" s="1"/>
  <c r="H934" i="20"/>
  <c r="I934" i="20" s="1"/>
  <c r="H923" i="20"/>
  <c r="I923" i="20" s="1"/>
  <c r="H911" i="20"/>
  <c r="I911" i="20" s="1"/>
  <c r="H959" i="20"/>
  <c r="I959" i="20" s="1"/>
  <c r="H924" i="20"/>
  <c r="I924" i="20" s="1"/>
  <c r="H914" i="20"/>
  <c r="H936" i="20"/>
  <c r="I936" i="20" s="1"/>
  <c r="H909" i="20"/>
  <c r="I909" i="20" s="1"/>
  <c r="H949" i="20"/>
  <c r="I949" i="20" s="1"/>
  <c r="H916" i="20"/>
  <c r="I916" i="20" s="1"/>
  <c r="H905" i="20"/>
  <c r="I905" i="20" s="1"/>
  <c r="H907" i="20"/>
  <c r="I907" i="20" s="1"/>
  <c r="H958" i="20"/>
  <c r="I958" i="20" s="1"/>
  <c r="H937" i="20"/>
  <c r="I937" i="20" s="1"/>
  <c r="H954" i="20"/>
  <c r="I954" i="20" s="1"/>
  <c r="H948" i="20"/>
  <c r="I948" i="20" s="1"/>
  <c r="H941" i="20"/>
  <c r="I941" i="20" s="1"/>
  <c r="H908" i="20"/>
  <c r="I908" i="20" s="1"/>
  <c r="H943" i="20"/>
  <c r="I943" i="20" s="1"/>
  <c r="H951" i="20"/>
  <c r="I951" i="20" s="1"/>
  <c r="H942" i="20"/>
  <c r="I942" i="20" s="1"/>
  <c r="H152" i="20"/>
  <c r="I152" i="20" s="1"/>
  <c r="H105" i="20"/>
  <c r="I105" i="20" s="1"/>
  <c r="H147" i="20"/>
  <c r="I147" i="20" s="1"/>
  <c r="H161" i="20"/>
  <c r="I161" i="20" s="1"/>
  <c r="H108" i="20"/>
  <c r="I108" i="20" s="1"/>
  <c r="H156" i="20"/>
  <c r="I156" i="20" s="1"/>
  <c r="H154" i="20"/>
  <c r="I154" i="20" s="1"/>
  <c r="H145" i="20"/>
  <c r="I145" i="20" s="1"/>
  <c r="H117" i="20"/>
  <c r="I117" i="20" s="1"/>
  <c r="H133" i="20"/>
  <c r="I133" i="20" s="1"/>
  <c r="H103" i="20"/>
  <c r="I103" i="20" s="1"/>
  <c r="H122" i="20"/>
  <c r="I122" i="20" s="1"/>
  <c r="H102" i="20"/>
  <c r="H159" i="20"/>
  <c r="I159" i="20" s="1"/>
  <c r="H118" i="20"/>
  <c r="I118" i="20" s="1"/>
  <c r="H151" i="20"/>
  <c r="I151" i="20" s="1"/>
  <c r="H111" i="20"/>
  <c r="I111" i="20" s="1"/>
  <c r="H137" i="20"/>
  <c r="I137" i="20" s="1"/>
  <c r="H136" i="20"/>
  <c r="I136" i="20" s="1"/>
  <c r="H153" i="20"/>
  <c r="I153" i="20" s="1"/>
  <c r="H130" i="20"/>
  <c r="I130" i="20" s="1"/>
  <c r="H132" i="20"/>
  <c r="I132" i="20" s="1"/>
  <c r="H131" i="20"/>
  <c r="I131" i="20" s="1"/>
  <c r="H125" i="20"/>
  <c r="I125" i="20" s="1"/>
  <c r="H146" i="20"/>
  <c r="I146" i="20" s="1"/>
  <c r="H157" i="20"/>
  <c r="I157" i="20" s="1"/>
  <c r="H141" i="20"/>
  <c r="I141" i="20" s="1"/>
  <c r="H160" i="20"/>
  <c r="I160" i="20" s="1"/>
  <c r="H110" i="20"/>
  <c r="I110" i="20" s="1"/>
  <c r="H150" i="20"/>
  <c r="I150" i="20" s="1"/>
  <c r="H109" i="20"/>
  <c r="I109" i="20" s="1"/>
  <c r="H119" i="20"/>
  <c r="I119" i="20" s="1"/>
  <c r="H155" i="20"/>
  <c r="I155" i="20" s="1"/>
  <c r="H116" i="20"/>
  <c r="I116" i="20" s="1"/>
  <c r="H128" i="20"/>
  <c r="I128" i="20" s="1"/>
  <c r="H121" i="20"/>
  <c r="I121" i="20" s="1"/>
  <c r="H140" i="20"/>
  <c r="I140" i="20" s="1"/>
  <c r="H149" i="20"/>
  <c r="I149" i="20" s="1"/>
  <c r="H135" i="20"/>
  <c r="I135" i="20" s="1"/>
  <c r="H142" i="20"/>
  <c r="I142" i="20" s="1"/>
  <c r="H148" i="20"/>
  <c r="I148" i="20" s="1"/>
  <c r="H106" i="20"/>
  <c r="I106" i="20" s="1"/>
  <c r="H124" i="20"/>
  <c r="I124" i="20" s="1"/>
  <c r="H112" i="20"/>
  <c r="I112" i="20" s="1"/>
  <c r="H114" i="20"/>
  <c r="I114" i="20" s="1"/>
  <c r="H134" i="20"/>
  <c r="I134" i="20" s="1"/>
  <c r="H139" i="20"/>
  <c r="I139" i="20" s="1"/>
  <c r="H123" i="20"/>
  <c r="I123" i="20" s="1"/>
  <c r="H115" i="20"/>
  <c r="I115" i="20" s="1"/>
  <c r="H126" i="20"/>
  <c r="I126" i="20" s="1"/>
  <c r="H158" i="20"/>
  <c r="I158" i="20" s="1"/>
  <c r="H120" i="20"/>
  <c r="H144" i="20"/>
  <c r="I144" i="20" s="1"/>
  <c r="H127" i="20"/>
  <c r="I127" i="20" s="1"/>
  <c r="H143" i="20"/>
  <c r="I143" i="20" s="1"/>
  <c r="H107" i="20"/>
  <c r="I107" i="20" s="1"/>
  <c r="H129" i="20"/>
  <c r="I129" i="20" s="1"/>
  <c r="H113" i="20"/>
  <c r="I113" i="20" s="1"/>
  <c r="H138" i="20"/>
  <c r="I138" i="20" s="1"/>
  <c r="H104" i="20"/>
  <c r="I104" i="20" s="1"/>
  <c r="H1034" i="20"/>
  <c r="I1034" i="20" s="1"/>
  <c r="H1049" i="20"/>
  <c r="I1049" i="20" s="1"/>
  <c r="H1024" i="20"/>
  <c r="I1024" i="20" s="1"/>
  <c r="H1007" i="20"/>
  <c r="I1007" i="20" s="1"/>
  <c r="H1036" i="20"/>
  <c r="I1036" i="20" s="1"/>
  <c r="H1030" i="20"/>
  <c r="I1030" i="20" s="1"/>
  <c r="H1020" i="20"/>
  <c r="I1020" i="20" s="1"/>
  <c r="H1038" i="20"/>
  <c r="I1038" i="20" s="1"/>
  <c r="H1006" i="20"/>
  <c r="I1006" i="20" s="1"/>
  <c r="H1043" i="20"/>
  <c r="I1043" i="20" s="1"/>
  <c r="H1044" i="20"/>
  <c r="I1044" i="20" s="1"/>
  <c r="H1046" i="20"/>
  <c r="I1046" i="20" s="1"/>
  <c r="H1050" i="20"/>
  <c r="I1050" i="20" s="1"/>
  <c r="H1011" i="20"/>
  <c r="I1011" i="20" s="1"/>
  <c r="H999" i="20"/>
  <c r="I999" i="20" s="1"/>
  <c r="H1025" i="20"/>
  <c r="I1025" i="20" s="1"/>
  <c r="H1012" i="20"/>
  <c r="I1012" i="20" s="1"/>
  <c r="H1018" i="20"/>
  <c r="I1018" i="20" s="1"/>
  <c r="H1005" i="20"/>
  <c r="H1031" i="20"/>
  <c r="I1031" i="20" s="1"/>
  <c r="H1082" i="20"/>
  <c r="H1037" i="20"/>
  <c r="I1037" i="20" s="1"/>
  <c r="H1016" i="20"/>
  <c r="I1016" i="20" s="1"/>
  <c r="H1015" i="20"/>
  <c r="I1015" i="20" s="1"/>
  <c r="H1039" i="20"/>
  <c r="I1039" i="20" s="1"/>
  <c r="H1047" i="20"/>
  <c r="I1047" i="20" s="1"/>
  <c r="H998" i="20"/>
  <c r="I998" i="20" s="1"/>
  <c r="H1026" i="20"/>
  <c r="I1026" i="20" s="1"/>
  <c r="H1002" i="20"/>
  <c r="I1002" i="20" s="1"/>
  <c r="H1023" i="20"/>
  <c r="I1023" i="20" s="1"/>
  <c r="H1000" i="20"/>
  <c r="I1000" i="20" s="1"/>
  <c r="H1019" i="20"/>
  <c r="I1019" i="20" s="1"/>
  <c r="H1010" i="20"/>
  <c r="I1010" i="20" s="1"/>
  <c r="H1028" i="20"/>
  <c r="I1028" i="20" s="1"/>
  <c r="H1033" i="20"/>
  <c r="I1033" i="20" s="1"/>
  <c r="H1032" i="20"/>
  <c r="I1032" i="20" s="1"/>
  <c r="H1022" i="20"/>
  <c r="I1022" i="20" s="1"/>
  <c r="H1004" i="20"/>
  <c r="I1004" i="20" s="1"/>
  <c r="H1051" i="20"/>
  <c r="I1051" i="20" s="1"/>
  <c r="H1048" i="20"/>
  <c r="I1048" i="20" s="1"/>
  <c r="H1035" i="20"/>
  <c r="I1035" i="20" s="1"/>
  <c r="H1041" i="20"/>
  <c r="I1041" i="20" s="1"/>
  <c r="H1040" i="20"/>
  <c r="I1040" i="20" s="1"/>
  <c r="H1029" i="20"/>
  <c r="I1029" i="20" s="1"/>
  <c r="H1009" i="20"/>
  <c r="I1009" i="20" s="1"/>
  <c r="H1045" i="20"/>
  <c r="I1045" i="20" s="1"/>
  <c r="H993" i="20"/>
  <c r="H1001" i="20"/>
  <c r="I1001" i="20" s="1"/>
  <c r="H1008" i="20"/>
  <c r="I1008" i="20" s="1"/>
  <c r="H996" i="20"/>
  <c r="I996" i="20" s="1"/>
  <c r="H1042" i="20"/>
  <c r="I1042" i="20" s="1"/>
  <c r="H997" i="20"/>
  <c r="I997" i="20" s="1"/>
  <c r="H995" i="20"/>
  <c r="I995" i="20" s="1"/>
  <c r="H1013" i="20"/>
  <c r="I1013" i="20" s="1"/>
  <c r="H1017" i="20"/>
  <c r="I1017" i="20" s="1"/>
  <c r="H1052" i="20"/>
  <c r="I1052" i="20" s="1"/>
  <c r="H1021" i="20"/>
  <c r="I1021" i="20" s="1"/>
  <c r="H994" i="20"/>
  <c r="I994" i="20" s="1"/>
  <c r="H1014" i="20"/>
  <c r="I1014" i="20" s="1"/>
  <c r="H1027" i="20"/>
  <c r="I1027" i="20" s="1"/>
  <c r="H1003" i="20"/>
  <c r="I1003" i="20" s="1"/>
  <c r="G1053" i="20"/>
  <c r="H1086" i="20"/>
  <c r="I1086" i="20" s="1"/>
  <c r="H1107" i="20"/>
  <c r="I1107" i="20" s="1"/>
  <c r="H1089" i="20"/>
  <c r="I1089" i="20" s="1"/>
  <c r="H1122" i="20"/>
  <c r="I1122" i="20" s="1"/>
  <c r="H1134" i="20"/>
  <c r="I1134" i="20" s="1"/>
  <c r="H1084" i="20"/>
  <c r="I1084" i="20" s="1"/>
  <c r="H1126" i="20"/>
  <c r="I1126" i="20" s="1"/>
  <c r="H1133" i="20"/>
  <c r="I1133" i="20" s="1"/>
  <c r="H1132" i="20"/>
  <c r="I1132" i="20" s="1"/>
  <c r="H1108" i="20"/>
  <c r="I1108" i="20" s="1"/>
  <c r="H1131" i="20"/>
  <c r="I1131" i="20" s="1"/>
  <c r="H1139" i="20"/>
  <c r="I1139" i="20" s="1"/>
  <c r="H1115" i="20"/>
  <c r="I1115" i="20" s="1"/>
  <c r="H1106" i="20"/>
  <c r="I1106" i="20" s="1"/>
  <c r="H1124" i="20"/>
  <c r="I1124" i="20" s="1"/>
  <c r="H1096" i="20"/>
  <c r="I1096" i="20" s="1"/>
  <c r="H1097" i="20"/>
  <c r="I1097" i="20" s="1"/>
  <c r="H1103" i="20"/>
  <c r="I1103" i="20" s="1"/>
  <c r="H1105" i="20"/>
  <c r="I1105" i="20" s="1"/>
  <c r="H1102" i="20"/>
  <c r="I1102" i="20" s="1"/>
  <c r="H1111" i="20"/>
  <c r="I1111" i="20" s="1"/>
  <c r="H1117" i="20"/>
  <c r="I1117" i="20" s="1"/>
  <c r="H1088" i="20"/>
  <c r="I1088" i="20" s="1"/>
  <c r="H1112" i="20"/>
  <c r="I1112" i="20" s="1"/>
  <c r="H1085" i="20"/>
  <c r="I1085" i="20" s="1"/>
  <c r="H1087" i="20"/>
  <c r="I1087" i="20" s="1"/>
  <c r="H1136" i="20"/>
  <c r="I1136" i="20" s="1"/>
  <c r="H1093" i="20"/>
  <c r="I1093" i="20" s="1"/>
  <c r="H1129" i="20"/>
  <c r="I1129" i="20" s="1"/>
  <c r="H1101" i="20"/>
  <c r="I1101" i="20" s="1"/>
  <c r="H1120" i="20"/>
  <c r="I1120" i="20" s="1"/>
  <c r="H1091" i="20"/>
  <c r="H1123" i="20"/>
  <c r="I1123" i="20" s="1"/>
  <c r="H1099" i="20"/>
  <c r="I1099" i="20" s="1"/>
  <c r="H1098" i="20"/>
  <c r="I1098" i="20" s="1"/>
  <c r="H1094" i="20"/>
  <c r="I1094" i="20" s="1"/>
  <c r="H1083" i="20"/>
  <c r="I1083" i="20" s="1"/>
  <c r="H1140" i="20"/>
  <c r="I1140" i="20" s="1"/>
  <c r="H1119" i="20"/>
  <c r="I1119" i="20" s="1"/>
  <c r="H1138" i="20"/>
  <c r="I1138" i="20" s="1"/>
  <c r="H1110" i="20"/>
  <c r="I1110" i="20" s="1"/>
  <c r="H1100" i="20"/>
  <c r="I1100" i="20" s="1"/>
  <c r="H1114" i="20"/>
  <c r="I1114" i="20" s="1"/>
  <c r="H1104" i="20"/>
  <c r="I1104" i="20" s="1"/>
  <c r="H1121" i="20"/>
  <c r="I1121" i="20" s="1"/>
  <c r="H1141" i="20"/>
  <c r="I1141" i="20" s="1"/>
  <c r="H1116" i="20"/>
  <c r="I1116" i="20" s="1"/>
  <c r="H1090" i="20"/>
  <c r="I1090" i="20" s="1"/>
  <c r="H1127" i="20"/>
  <c r="I1127" i="20" s="1"/>
  <c r="H1135" i="20"/>
  <c r="I1135" i="20" s="1"/>
  <c r="H1092" i="20"/>
  <c r="I1092" i="20" s="1"/>
  <c r="H1109" i="20"/>
  <c r="I1109" i="20" s="1"/>
  <c r="H1128" i="20"/>
  <c r="I1128" i="20" s="1"/>
  <c r="H1113" i="20"/>
  <c r="I1113" i="20" s="1"/>
  <c r="H1118" i="20"/>
  <c r="I1118" i="20" s="1"/>
  <c r="H1137" i="20"/>
  <c r="I1137" i="20" s="1"/>
  <c r="H1125" i="20"/>
  <c r="I1125" i="20" s="1"/>
  <c r="H1095" i="20"/>
  <c r="I1095" i="20" s="1"/>
  <c r="H1130" i="20"/>
  <c r="I1130" i="20" s="1"/>
  <c r="H1265" i="20"/>
  <c r="I1265" i="20" s="1"/>
  <c r="H1275" i="20"/>
  <c r="I1275" i="20" s="1"/>
  <c r="H1279" i="20"/>
  <c r="I1279" i="20" s="1"/>
  <c r="H1314" i="20"/>
  <c r="I1314" i="20" s="1"/>
  <c r="H1285" i="20"/>
  <c r="I1285" i="20" s="1"/>
  <c r="H1287" i="20"/>
  <c r="I1287" i="20" s="1"/>
  <c r="H1278" i="20"/>
  <c r="I1278" i="20" s="1"/>
  <c r="H1315" i="20"/>
  <c r="I1315" i="20" s="1"/>
  <c r="H1283" i="20"/>
  <c r="I1283" i="20" s="1"/>
  <c r="H1281" i="20"/>
  <c r="I1281" i="20" s="1"/>
  <c r="H1293" i="20"/>
  <c r="I1293" i="20" s="1"/>
  <c r="H1284" i="20"/>
  <c r="I1284" i="20" s="1"/>
  <c r="H1317" i="20"/>
  <c r="I1317" i="20" s="1"/>
  <c r="H1261" i="20"/>
  <c r="I1261" i="20" s="1"/>
  <c r="H1268" i="20"/>
  <c r="I1268" i="20" s="1"/>
  <c r="H1273" i="20"/>
  <c r="I1273" i="20" s="1"/>
  <c r="H1298" i="20"/>
  <c r="I1298" i="20" s="1"/>
  <c r="H1313" i="20"/>
  <c r="I1313" i="20" s="1"/>
  <c r="H1305" i="20"/>
  <c r="I1305" i="20" s="1"/>
  <c r="H1274" i="20"/>
  <c r="I1274" i="20" s="1"/>
  <c r="H1300" i="20"/>
  <c r="I1300" i="20" s="1"/>
  <c r="H1318" i="20"/>
  <c r="I1318" i="20" s="1"/>
  <c r="H1266" i="20"/>
  <c r="I1266" i="20" s="1"/>
  <c r="H1312" i="20"/>
  <c r="I1312" i="20" s="1"/>
  <c r="H1290" i="20"/>
  <c r="I1290" i="20" s="1"/>
  <c r="H1272" i="20"/>
  <c r="I1272" i="20" s="1"/>
  <c r="H1264" i="20"/>
  <c r="I1264" i="20" s="1"/>
  <c r="H1289" i="20"/>
  <c r="I1289" i="20" s="1"/>
  <c r="H1294" i="20"/>
  <c r="I1294" i="20" s="1"/>
  <c r="H1282" i="20"/>
  <c r="I1282" i="20" s="1"/>
  <c r="H1296" i="20"/>
  <c r="I1296" i="20" s="1"/>
  <c r="H1297" i="20"/>
  <c r="I1297" i="20" s="1"/>
  <c r="H1301" i="20"/>
  <c r="I1301" i="20" s="1"/>
  <c r="H1260" i="20"/>
  <c r="H1267" i="20"/>
  <c r="I1267" i="20" s="1"/>
  <c r="H1303" i="20"/>
  <c r="I1303" i="20" s="1"/>
  <c r="H1291" i="20"/>
  <c r="I1291" i="20" s="1"/>
  <c r="H1299" i="20"/>
  <c r="I1299" i="20" s="1"/>
  <c r="H1302" i="20"/>
  <c r="I1302" i="20" s="1"/>
  <c r="H1263" i="20"/>
  <c r="I1263" i="20" s="1"/>
  <c r="H1288" i="20"/>
  <c r="I1288" i="20" s="1"/>
  <c r="H1271" i="20"/>
  <c r="I1271" i="20" s="1"/>
  <c r="H1277" i="20"/>
  <c r="I1277" i="20" s="1"/>
  <c r="H1276" i="20"/>
  <c r="I1276" i="20" s="1"/>
  <c r="H1311" i="20"/>
  <c r="I1311" i="20" s="1"/>
  <c r="H1270" i="20"/>
  <c r="H1280" i="20"/>
  <c r="I1280" i="20" s="1"/>
  <c r="H1308" i="20"/>
  <c r="I1308" i="20" s="1"/>
  <c r="H1292" i="20"/>
  <c r="I1292" i="20" s="1"/>
  <c r="H1269" i="20"/>
  <c r="I1269" i="20" s="1"/>
  <c r="H1306" i="20"/>
  <c r="I1306" i="20" s="1"/>
  <c r="H1310" i="20"/>
  <c r="I1310" i="20" s="1"/>
  <c r="H1316" i="20"/>
  <c r="I1316" i="20" s="1"/>
  <c r="H1304" i="20"/>
  <c r="I1304" i="20" s="1"/>
  <c r="H1286" i="20"/>
  <c r="I1286" i="20" s="1"/>
  <c r="H1319" i="20"/>
  <c r="I1319" i="20" s="1"/>
  <c r="H1309" i="20"/>
  <c r="I1309" i="20" s="1"/>
  <c r="H1295" i="20"/>
  <c r="I1295" i="20" s="1"/>
  <c r="H1262" i="20"/>
  <c r="I1262" i="20" s="1"/>
  <c r="H1307" i="20"/>
  <c r="I1307" i="20" s="1"/>
  <c r="G519" i="20"/>
  <c r="G1320" i="20"/>
  <c r="H564" i="20"/>
  <c r="I564" i="20" s="1"/>
  <c r="H550" i="20"/>
  <c r="I550" i="20" s="1"/>
  <c r="H567" i="20"/>
  <c r="I567" i="20" s="1"/>
  <c r="H570" i="20"/>
  <c r="I570" i="20" s="1"/>
  <c r="H583" i="20"/>
  <c r="I583" i="20" s="1"/>
  <c r="H552" i="20"/>
  <c r="I552" i="20" s="1"/>
  <c r="H566" i="20"/>
  <c r="I566" i="20" s="1"/>
  <c r="H576" i="20"/>
  <c r="I576" i="20" s="1"/>
  <c r="H590" i="20"/>
  <c r="I590" i="20" s="1"/>
  <c r="H604" i="20"/>
  <c r="I604" i="20" s="1"/>
  <c r="H599" i="20"/>
  <c r="I599" i="20" s="1"/>
  <c r="H586" i="20"/>
  <c r="I586" i="20" s="1"/>
  <c r="H581" i="20"/>
  <c r="I581" i="20" s="1"/>
  <c r="H594" i="20"/>
  <c r="I594" i="20" s="1"/>
  <c r="H561" i="20"/>
  <c r="I561" i="20" s="1"/>
  <c r="H584" i="20"/>
  <c r="I584" i="20" s="1"/>
  <c r="H588" i="20"/>
  <c r="I588" i="20" s="1"/>
  <c r="H572" i="20"/>
  <c r="I572" i="20" s="1"/>
  <c r="H580" i="20"/>
  <c r="I580" i="20" s="1"/>
  <c r="H602" i="20"/>
  <c r="I602" i="20" s="1"/>
  <c r="H556" i="20"/>
  <c r="I556" i="20" s="1"/>
  <c r="H571" i="20"/>
  <c r="I571" i="20" s="1"/>
  <c r="H587" i="20"/>
  <c r="I587" i="20" s="1"/>
  <c r="H549" i="20"/>
  <c r="I549" i="20" s="1"/>
  <c r="H569" i="20"/>
  <c r="I569" i="20" s="1"/>
  <c r="H554" i="20"/>
  <c r="I554" i="20" s="1"/>
  <c r="H593" i="20"/>
  <c r="I593" i="20" s="1"/>
  <c r="H573" i="20"/>
  <c r="I573" i="20" s="1"/>
  <c r="H606" i="20"/>
  <c r="I606" i="20" s="1"/>
  <c r="H601" i="20"/>
  <c r="I601" i="20" s="1"/>
  <c r="H582" i="20"/>
  <c r="I582" i="20" s="1"/>
  <c r="H560" i="20"/>
  <c r="I560" i="20" s="1"/>
  <c r="H558" i="20"/>
  <c r="H600" i="20"/>
  <c r="I600" i="20" s="1"/>
  <c r="H551" i="20"/>
  <c r="I551" i="20" s="1"/>
  <c r="H565" i="20"/>
  <c r="I565" i="20" s="1"/>
  <c r="H605" i="20"/>
  <c r="I605" i="20" s="1"/>
  <c r="H553" i="20"/>
  <c r="I553" i="20" s="1"/>
  <c r="H574" i="20"/>
  <c r="I574" i="20" s="1"/>
  <c r="H577" i="20"/>
  <c r="I577" i="20" s="1"/>
  <c r="H557" i="20"/>
  <c r="I557" i="20" s="1"/>
  <c r="H548" i="20"/>
  <c r="H562" i="20"/>
  <c r="I562" i="20" s="1"/>
  <c r="H591" i="20"/>
  <c r="I591" i="20" s="1"/>
  <c r="H559" i="20"/>
  <c r="I559" i="20" s="1"/>
  <c r="H575" i="20"/>
  <c r="I575" i="20" s="1"/>
  <c r="H592" i="20"/>
  <c r="I592" i="20" s="1"/>
  <c r="H607" i="20"/>
  <c r="I607" i="20" s="1"/>
  <c r="H578" i="20"/>
  <c r="I578" i="20" s="1"/>
  <c r="H596" i="20"/>
  <c r="I596" i="20" s="1"/>
  <c r="H585" i="20"/>
  <c r="I585" i="20" s="1"/>
  <c r="H568" i="20"/>
  <c r="I568" i="20" s="1"/>
  <c r="H603" i="20"/>
  <c r="I603" i="20" s="1"/>
  <c r="H555" i="20"/>
  <c r="I555" i="20" s="1"/>
  <c r="H598" i="20"/>
  <c r="I598" i="20" s="1"/>
  <c r="H589" i="20"/>
  <c r="I589" i="20" s="1"/>
  <c r="H579" i="20"/>
  <c r="I579" i="20" s="1"/>
  <c r="H563" i="20"/>
  <c r="I563" i="20" s="1"/>
  <c r="H595" i="20"/>
  <c r="I595" i="20" s="1"/>
  <c r="H597" i="20"/>
  <c r="I597" i="20" s="1"/>
  <c r="G252" i="20"/>
  <c r="H781" i="20"/>
  <c r="I781" i="20" s="1"/>
  <c r="H744" i="20"/>
  <c r="I744" i="20" s="1"/>
  <c r="H762" i="20"/>
  <c r="I762" i="20" s="1"/>
  <c r="H738" i="20"/>
  <c r="I738" i="20" s="1"/>
  <c r="H766" i="20"/>
  <c r="I766" i="20" s="1"/>
  <c r="H752" i="20"/>
  <c r="I752" i="20" s="1"/>
  <c r="H726" i="20"/>
  <c r="H737" i="20"/>
  <c r="H777" i="20"/>
  <c r="I777" i="20" s="1"/>
  <c r="H772" i="20"/>
  <c r="I772" i="20" s="1"/>
  <c r="H759" i="20"/>
  <c r="I759" i="20" s="1"/>
  <c r="H782" i="20"/>
  <c r="I782" i="20" s="1"/>
  <c r="H758" i="20"/>
  <c r="I758" i="20" s="1"/>
  <c r="H730" i="20"/>
  <c r="I730" i="20" s="1"/>
  <c r="H755" i="20"/>
  <c r="I755" i="20" s="1"/>
  <c r="H776" i="20"/>
  <c r="I776" i="20" s="1"/>
  <c r="H740" i="20"/>
  <c r="I740" i="20" s="1"/>
  <c r="H735" i="20"/>
  <c r="I735" i="20" s="1"/>
  <c r="H743" i="20"/>
  <c r="I743" i="20" s="1"/>
  <c r="H784" i="20"/>
  <c r="I784" i="20" s="1"/>
  <c r="H727" i="20"/>
  <c r="I727" i="20" s="1"/>
  <c r="H731" i="20"/>
  <c r="I731" i="20" s="1"/>
  <c r="H757" i="20"/>
  <c r="I757" i="20" s="1"/>
  <c r="H785" i="20"/>
  <c r="I785" i="20" s="1"/>
  <c r="H778" i="20"/>
  <c r="I778" i="20" s="1"/>
  <c r="H769" i="20"/>
  <c r="I769" i="20" s="1"/>
  <c r="H774" i="20"/>
  <c r="I774" i="20" s="1"/>
  <c r="H779" i="20"/>
  <c r="I779" i="20" s="1"/>
  <c r="H756" i="20"/>
  <c r="I756" i="20" s="1"/>
  <c r="H775" i="20"/>
  <c r="I775" i="20" s="1"/>
  <c r="H770" i="20"/>
  <c r="I770" i="20" s="1"/>
  <c r="H745" i="20"/>
  <c r="I745" i="20" s="1"/>
  <c r="H729" i="20"/>
  <c r="I729" i="20" s="1"/>
  <c r="H780" i="20"/>
  <c r="I780" i="20" s="1"/>
  <c r="H767" i="20"/>
  <c r="I767" i="20" s="1"/>
  <c r="H783" i="20"/>
  <c r="I783" i="20" s="1"/>
  <c r="H728" i="20"/>
  <c r="I728" i="20" s="1"/>
  <c r="H733" i="20"/>
  <c r="I733" i="20" s="1"/>
  <c r="H765" i="20"/>
  <c r="I765" i="20" s="1"/>
  <c r="H768" i="20"/>
  <c r="I768" i="20" s="1"/>
  <c r="H750" i="20"/>
  <c r="I750" i="20" s="1"/>
  <c r="H732" i="20"/>
  <c r="I732" i="20" s="1"/>
  <c r="H748" i="20"/>
  <c r="I748" i="20" s="1"/>
  <c r="H742" i="20"/>
  <c r="I742" i="20" s="1"/>
  <c r="H771" i="20"/>
  <c r="I771" i="20" s="1"/>
  <c r="H763" i="20"/>
  <c r="I763" i="20" s="1"/>
  <c r="H751" i="20"/>
  <c r="I751" i="20" s="1"/>
  <c r="H739" i="20"/>
  <c r="I739" i="20" s="1"/>
  <c r="H761" i="20"/>
  <c r="I761" i="20" s="1"/>
  <c r="H734" i="20"/>
  <c r="I734" i="20" s="1"/>
  <c r="H736" i="20"/>
  <c r="I736" i="20" s="1"/>
  <c r="H760" i="20"/>
  <c r="I760" i="20" s="1"/>
  <c r="H749" i="20"/>
  <c r="I749" i="20" s="1"/>
  <c r="H773" i="20"/>
  <c r="I773" i="20" s="1"/>
  <c r="H747" i="20"/>
  <c r="I747" i="20" s="1"/>
  <c r="H746" i="20"/>
  <c r="I746" i="20" s="1"/>
  <c r="H754" i="20"/>
  <c r="I754" i="20" s="1"/>
  <c r="H753" i="20"/>
  <c r="I753" i="20" s="1"/>
  <c r="H764" i="20"/>
  <c r="I764" i="20" s="1"/>
  <c r="H741" i="20"/>
  <c r="I741" i="20" s="1"/>
  <c r="H855" i="20"/>
  <c r="I855" i="20" s="1"/>
  <c r="H842" i="20"/>
  <c r="I842" i="20" s="1"/>
  <c r="H835" i="20"/>
  <c r="I835" i="20" s="1"/>
  <c r="H831" i="20"/>
  <c r="I831" i="20" s="1"/>
  <c r="H825" i="20"/>
  <c r="I825" i="20" s="1"/>
  <c r="H858" i="20"/>
  <c r="I858" i="20" s="1"/>
  <c r="H844" i="20"/>
  <c r="I844" i="20" s="1"/>
  <c r="H817" i="20"/>
  <c r="I817" i="20" s="1"/>
  <c r="H856" i="20"/>
  <c r="I856" i="20" s="1"/>
  <c r="H849" i="20"/>
  <c r="I849" i="20" s="1"/>
  <c r="H819" i="20"/>
  <c r="I819" i="20" s="1"/>
  <c r="H860" i="20"/>
  <c r="I860" i="20" s="1"/>
  <c r="H869" i="20"/>
  <c r="I869" i="20" s="1"/>
  <c r="H873" i="20"/>
  <c r="I873" i="20" s="1"/>
  <c r="H850" i="20"/>
  <c r="I850" i="20" s="1"/>
  <c r="H843" i="20"/>
  <c r="I843" i="20" s="1"/>
  <c r="H840" i="20"/>
  <c r="I840" i="20" s="1"/>
  <c r="H865" i="20"/>
  <c r="I865" i="20" s="1"/>
  <c r="H861" i="20"/>
  <c r="I861" i="20" s="1"/>
  <c r="H818" i="20"/>
  <c r="I818" i="20" s="1"/>
  <c r="H847" i="20"/>
  <c r="I847" i="20" s="1"/>
  <c r="H848" i="20"/>
  <c r="I848" i="20" s="1"/>
  <c r="H821" i="20"/>
  <c r="I821" i="20" s="1"/>
  <c r="H829" i="20"/>
  <c r="I829" i="20" s="1"/>
  <c r="H845" i="20"/>
  <c r="I845" i="20" s="1"/>
  <c r="H863" i="20"/>
  <c r="I863" i="20" s="1"/>
  <c r="H834" i="20"/>
  <c r="I834" i="20" s="1"/>
  <c r="H820" i="20"/>
  <c r="I820" i="20" s="1"/>
  <c r="H815" i="20"/>
  <c r="H816" i="20"/>
  <c r="I816" i="20" s="1"/>
  <c r="H851" i="20"/>
  <c r="I851" i="20" s="1"/>
  <c r="H838" i="20"/>
  <c r="I838" i="20" s="1"/>
  <c r="H836" i="20"/>
  <c r="I836" i="20" s="1"/>
  <c r="H841" i="20"/>
  <c r="I841" i="20" s="1"/>
  <c r="H870" i="20"/>
  <c r="I870" i="20" s="1"/>
  <c r="H857" i="20"/>
  <c r="I857" i="20" s="1"/>
  <c r="H864" i="20"/>
  <c r="I864" i="20" s="1"/>
  <c r="H823" i="20"/>
  <c r="I823" i="20" s="1"/>
  <c r="H846" i="20"/>
  <c r="I846" i="20" s="1"/>
  <c r="H874" i="20"/>
  <c r="I874" i="20" s="1"/>
  <c r="H862" i="20"/>
  <c r="I862" i="20" s="1"/>
  <c r="H833" i="20"/>
  <c r="I833" i="20" s="1"/>
  <c r="H854" i="20"/>
  <c r="I854" i="20" s="1"/>
  <c r="H837" i="20"/>
  <c r="I837" i="20" s="1"/>
  <c r="H824" i="20"/>
  <c r="I824" i="20" s="1"/>
  <c r="H866" i="20"/>
  <c r="I866" i="20" s="1"/>
  <c r="H871" i="20"/>
  <c r="I871" i="20" s="1"/>
  <c r="H832" i="20"/>
  <c r="I832" i="20" s="1"/>
  <c r="H852" i="20"/>
  <c r="I852" i="20" s="1"/>
  <c r="H853" i="20"/>
  <c r="I853" i="20" s="1"/>
  <c r="H839" i="20"/>
  <c r="I839" i="20" s="1"/>
  <c r="H822" i="20"/>
  <c r="I822" i="20" s="1"/>
  <c r="H859" i="20"/>
  <c r="I859" i="20" s="1"/>
  <c r="H868" i="20"/>
  <c r="I868" i="20" s="1"/>
  <c r="H826" i="20"/>
  <c r="I826" i="20" s="1"/>
  <c r="H827" i="20"/>
  <c r="H830" i="20"/>
  <c r="I830" i="20" s="1"/>
  <c r="H828" i="20"/>
  <c r="I828" i="20" s="1"/>
  <c r="H872" i="20"/>
  <c r="I872" i="20" s="1"/>
  <c r="H867" i="20"/>
  <c r="I867" i="20" s="1"/>
  <c r="G430" i="20"/>
  <c r="G608" i="20"/>
  <c r="G1142" i="20"/>
  <c r="H464" i="20"/>
  <c r="I464" i="20" s="1"/>
  <c r="H470" i="20"/>
  <c r="H491" i="20"/>
  <c r="I491" i="20" s="1"/>
  <c r="H495" i="20"/>
  <c r="I495" i="20" s="1"/>
  <c r="H466" i="20"/>
  <c r="I466" i="20" s="1"/>
  <c r="H509" i="20"/>
  <c r="I509" i="20" s="1"/>
  <c r="H508" i="20"/>
  <c r="I508" i="20" s="1"/>
  <c r="H498" i="20"/>
  <c r="I498" i="20" s="1"/>
  <c r="H459" i="20"/>
  <c r="H481" i="20"/>
  <c r="I481" i="20" s="1"/>
  <c r="H496" i="20"/>
  <c r="I496" i="20" s="1"/>
  <c r="H480" i="20"/>
  <c r="I480" i="20" s="1"/>
  <c r="H516" i="20"/>
  <c r="I516" i="20" s="1"/>
  <c r="H492" i="20"/>
  <c r="I492" i="20" s="1"/>
  <c r="H467" i="20"/>
  <c r="I467" i="20" s="1"/>
  <c r="H494" i="20"/>
  <c r="I494" i="20" s="1"/>
  <c r="H487" i="20"/>
  <c r="I487" i="20" s="1"/>
  <c r="H477" i="20"/>
  <c r="I477" i="20" s="1"/>
  <c r="H469" i="20"/>
  <c r="I469" i="20" s="1"/>
  <c r="H507" i="20"/>
  <c r="I507" i="20" s="1"/>
  <c r="H497" i="20"/>
  <c r="I497" i="20" s="1"/>
  <c r="H476" i="20"/>
  <c r="I476" i="20" s="1"/>
  <c r="H513" i="20"/>
  <c r="I513" i="20" s="1"/>
  <c r="H474" i="20"/>
  <c r="I474" i="20" s="1"/>
  <c r="H485" i="20"/>
  <c r="I485" i="20" s="1"/>
  <c r="H471" i="20"/>
  <c r="I471" i="20" s="1"/>
  <c r="H493" i="20"/>
  <c r="I493" i="20" s="1"/>
  <c r="H473" i="20"/>
  <c r="I473" i="20" s="1"/>
  <c r="H461" i="20"/>
  <c r="I461" i="20" s="1"/>
  <c r="H489" i="20"/>
  <c r="I489" i="20" s="1"/>
  <c r="H478" i="20"/>
  <c r="I478" i="20" s="1"/>
  <c r="H484" i="20"/>
  <c r="I484" i="20" s="1"/>
  <c r="H502" i="20"/>
  <c r="I502" i="20" s="1"/>
  <c r="H506" i="20"/>
  <c r="I506" i="20" s="1"/>
  <c r="H482" i="20"/>
  <c r="I482" i="20" s="1"/>
  <c r="H472" i="20"/>
  <c r="I472" i="20" s="1"/>
  <c r="H517" i="20"/>
  <c r="I517" i="20" s="1"/>
  <c r="H512" i="20"/>
  <c r="I512" i="20" s="1"/>
  <c r="H503" i="20"/>
  <c r="I503" i="20" s="1"/>
  <c r="H514" i="20"/>
  <c r="I514" i="20" s="1"/>
  <c r="H505" i="20"/>
  <c r="I505" i="20" s="1"/>
  <c r="H462" i="20"/>
  <c r="I462" i="20" s="1"/>
  <c r="H486" i="20"/>
  <c r="I486" i="20" s="1"/>
  <c r="H518" i="20"/>
  <c r="I518" i="20" s="1"/>
  <c r="H475" i="20"/>
  <c r="I475" i="20" s="1"/>
  <c r="H465" i="20"/>
  <c r="I465" i="20" s="1"/>
  <c r="H511" i="20"/>
  <c r="I511" i="20" s="1"/>
  <c r="H460" i="20"/>
  <c r="I460" i="20" s="1"/>
  <c r="H510" i="20"/>
  <c r="I510" i="20" s="1"/>
  <c r="H488" i="20"/>
  <c r="I488" i="20" s="1"/>
  <c r="H500" i="20"/>
  <c r="I500" i="20" s="1"/>
  <c r="H501" i="20"/>
  <c r="I501" i="20" s="1"/>
  <c r="H515" i="20"/>
  <c r="I515" i="20" s="1"/>
  <c r="H504" i="20"/>
  <c r="I504" i="20" s="1"/>
  <c r="H468" i="20"/>
  <c r="I468" i="20" s="1"/>
  <c r="H483" i="20"/>
  <c r="I483" i="20" s="1"/>
  <c r="H463" i="20"/>
  <c r="I463" i="20" s="1"/>
  <c r="H479" i="20"/>
  <c r="I479" i="20" s="1"/>
  <c r="H490" i="20"/>
  <c r="I490" i="20" s="1"/>
  <c r="H499" i="20"/>
  <c r="I499" i="20" s="1"/>
  <c r="G875" i="20"/>
  <c r="H215" i="20"/>
  <c r="I215" i="20" s="1"/>
  <c r="H244" i="20"/>
  <c r="I244" i="20" s="1"/>
  <c r="H212" i="20"/>
  <c r="I212" i="20" s="1"/>
  <c r="H201" i="20"/>
  <c r="I201" i="20" s="1"/>
  <c r="H203" i="20"/>
  <c r="I203" i="20" s="1"/>
  <c r="H243" i="20"/>
  <c r="I243" i="20" s="1"/>
  <c r="H221" i="20"/>
  <c r="I221" i="20" s="1"/>
  <c r="H208" i="20"/>
  <c r="I208" i="20" s="1"/>
  <c r="H227" i="20"/>
  <c r="I227" i="20" s="1"/>
  <c r="H202" i="20"/>
  <c r="I202" i="20" s="1"/>
  <c r="H249" i="20"/>
  <c r="I249" i="20" s="1"/>
  <c r="H251" i="20"/>
  <c r="I251" i="20" s="1"/>
  <c r="H209" i="20"/>
  <c r="I209" i="20" s="1"/>
  <c r="H199" i="20"/>
  <c r="I199" i="20" s="1"/>
  <c r="H207" i="20"/>
  <c r="H210" i="20"/>
  <c r="I210" i="20" s="1"/>
  <c r="H211" i="20"/>
  <c r="I211" i="20" s="1"/>
  <c r="H216" i="20"/>
  <c r="I216" i="20" s="1"/>
  <c r="H234" i="20"/>
  <c r="I234" i="20" s="1"/>
  <c r="H223" i="20"/>
  <c r="I223" i="20" s="1"/>
  <c r="H206" i="20"/>
  <c r="I206" i="20" s="1"/>
  <c r="H214" i="20"/>
  <c r="I214" i="20" s="1"/>
  <c r="H200" i="20"/>
  <c r="I200" i="20" s="1"/>
  <c r="H192" i="20"/>
  <c r="H238" i="20"/>
  <c r="I238" i="20" s="1"/>
  <c r="H231" i="20"/>
  <c r="I231" i="20" s="1"/>
  <c r="H229" i="20"/>
  <c r="I229" i="20" s="1"/>
  <c r="H194" i="20"/>
  <c r="I194" i="20" s="1"/>
  <c r="H233" i="20"/>
  <c r="I233" i="20" s="1"/>
  <c r="H247" i="20"/>
  <c r="I247" i="20" s="1"/>
  <c r="H232" i="20"/>
  <c r="I232" i="20" s="1"/>
  <c r="H197" i="20"/>
  <c r="I197" i="20" s="1"/>
  <c r="H218" i="20"/>
  <c r="I218" i="20" s="1"/>
  <c r="H237" i="20"/>
  <c r="I237" i="20" s="1"/>
  <c r="H220" i="20"/>
  <c r="I220" i="20" s="1"/>
  <c r="H195" i="20"/>
  <c r="I195" i="20" s="1"/>
  <c r="H246" i="20"/>
  <c r="I246" i="20" s="1"/>
  <c r="H230" i="20"/>
  <c r="I230" i="20" s="1"/>
  <c r="H239" i="20"/>
  <c r="I239" i="20" s="1"/>
  <c r="H222" i="20"/>
  <c r="I222" i="20" s="1"/>
  <c r="H245" i="20"/>
  <c r="I245" i="20" s="1"/>
  <c r="H242" i="20"/>
  <c r="I242" i="20" s="1"/>
  <c r="H219" i="20"/>
  <c r="I219" i="20" s="1"/>
  <c r="H213" i="20"/>
  <c r="I213" i="20" s="1"/>
  <c r="H226" i="20"/>
  <c r="I226" i="20" s="1"/>
  <c r="H204" i="20"/>
  <c r="I204" i="20" s="1"/>
  <c r="H225" i="20"/>
  <c r="I225" i="20" s="1"/>
  <c r="H228" i="20"/>
  <c r="I228" i="20" s="1"/>
  <c r="H240" i="20"/>
  <c r="I240" i="20" s="1"/>
  <c r="H250" i="20"/>
  <c r="I250" i="20" s="1"/>
  <c r="H236" i="20"/>
  <c r="I236" i="20" s="1"/>
  <c r="H241" i="20"/>
  <c r="I241" i="20" s="1"/>
  <c r="H248" i="20"/>
  <c r="I248" i="20" s="1"/>
  <c r="H235" i="20"/>
  <c r="I235" i="20" s="1"/>
  <c r="H205" i="20"/>
  <c r="I205" i="20" s="1"/>
  <c r="H193" i="20"/>
  <c r="I193" i="20" s="1"/>
  <c r="H196" i="20"/>
  <c r="I196" i="20" s="1"/>
  <c r="H224" i="20"/>
  <c r="I224" i="20" s="1"/>
  <c r="H198" i="20"/>
  <c r="I198" i="20" s="1"/>
  <c r="H217" i="20"/>
  <c r="I217" i="20" s="1"/>
  <c r="M26" i="20" l="1"/>
  <c r="G27" i="2" s="1"/>
  <c r="L27" i="2" s="1"/>
  <c r="I993" i="20"/>
  <c r="H1053" i="20"/>
  <c r="H1409" i="20"/>
  <c r="I1349" i="20"/>
  <c r="N981" i="20"/>
  <c r="N982" i="20" s="1"/>
  <c r="I1005" i="20"/>
  <c r="I548" i="20"/>
  <c r="H608" i="20"/>
  <c r="I1260" i="20"/>
  <c r="H1320" i="20"/>
  <c r="I1171" i="20"/>
  <c r="H1231" i="20"/>
  <c r="H430" i="20"/>
  <c r="I370" i="20"/>
  <c r="H252" i="20"/>
  <c r="I192" i="20"/>
  <c r="I737" i="20"/>
  <c r="N714" i="20"/>
  <c r="N715" i="20" s="1"/>
  <c r="I1179" i="20"/>
  <c r="N1159" i="20"/>
  <c r="N1160" i="20" s="1"/>
  <c r="H1142" i="20"/>
  <c r="I1082" i="20"/>
  <c r="I1270" i="20"/>
  <c r="N1248" i="20"/>
  <c r="N1249" i="20" s="1"/>
  <c r="H1498" i="20"/>
  <c r="N1426" i="20"/>
  <c r="N1427" i="20" s="1"/>
  <c r="I1438" i="20"/>
  <c r="I1498" i="20" s="1"/>
  <c r="N447" i="20"/>
  <c r="N448" i="20" s="1"/>
  <c r="I470" i="20"/>
  <c r="I459" i="20"/>
  <c r="H519" i="20"/>
  <c r="I904" i="20"/>
  <c r="H964" i="20"/>
  <c r="I382" i="20"/>
  <c r="N358" i="20"/>
  <c r="N359" i="20" s="1"/>
  <c r="N536" i="20"/>
  <c r="N537" i="20" s="1"/>
  <c r="I558" i="20"/>
  <c r="H875" i="20"/>
  <c r="I815" i="20"/>
  <c r="N1337" i="20"/>
  <c r="N1338" i="20" s="1"/>
  <c r="I1356" i="20"/>
  <c r="N625" i="20"/>
  <c r="N626" i="20" s="1"/>
  <c r="I647" i="20"/>
  <c r="I726" i="20"/>
  <c r="H786" i="20"/>
  <c r="N803" i="20"/>
  <c r="N804" i="20" s="1"/>
  <c r="I827" i="20"/>
  <c r="I1091" i="20"/>
  <c r="N1070" i="20"/>
  <c r="N1071" i="20" s="1"/>
  <c r="I1527" i="20"/>
  <c r="I1587" i="20" s="1"/>
  <c r="N1515" i="20"/>
  <c r="N1516" i="20" s="1"/>
  <c r="H1587" i="20"/>
  <c r="H341" i="20"/>
  <c r="I281" i="20"/>
  <c r="I120" i="20"/>
  <c r="N90" i="20"/>
  <c r="I637" i="20"/>
  <c r="H697" i="20"/>
  <c r="N180" i="20"/>
  <c r="N181" i="20" s="1"/>
  <c r="I207" i="20"/>
  <c r="I102" i="20"/>
  <c r="H162" i="20"/>
  <c r="I914" i="20"/>
  <c r="N892" i="20"/>
  <c r="N893" i="20" s="1"/>
  <c r="N269" i="20"/>
  <c r="N270" i="20" s="1"/>
  <c r="I293" i="20"/>
  <c r="I697" i="20" l="1"/>
  <c r="I162" i="20"/>
  <c r="I1409" i="20"/>
  <c r="I341" i="20"/>
  <c r="I875" i="20"/>
  <c r="I1231" i="20"/>
  <c r="I1142" i="20"/>
  <c r="I1320" i="20"/>
  <c r="I519" i="20"/>
  <c r="I608" i="20"/>
  <c r="I964" i="20"/>
  <c r="I252" i="20"/>
  <c r="I786" i="20"/>
  <c r="I430" i="20"/>
  <c r="N91" i="20"/>
  <c r="N26" i="20"/>
  <c r="O26" i="20" s="1"/>
  <c r="I1053" i="20"/>
</calcChain>
</file>

<file path=xl/sharedStrings.xml><?xml version="1.0" encoding="utf-8"?>
<sst xmlns="http://schemas.openxmlformats.org/spreadsheetml/2006/main" count="3128" uniqueCount="1217">
  <si>
    <t>CALCULATION OF RECOVERABLE HEDGE GAINS/LOSSES</t>
  </si>
  <si>
    <t>Net Includable Hedge Amount</t>
  </si>
  <si>
    <t>Source of Data</t>
  </si>
  <si>
    <t>Plant Held For Future Use</t>
  </si>
  <si>
    <t>( C )</t>
  </si>
  <si>
    <t>General Notes:  a)  References to data from Worksheets are indicated as:  Worksheet X, Line#.Column.X</t>
  </si>
  <si>
    <t>Average Balance of Common Equity</t>
  </si>
  <si>
    <t>Development of Cost of  Long Term Debt Based on Average Outstanding Balance</t>
  </si>
  <si>
    <t>Total Hedge Amortization</t>
  </si>
  <si>
    <t>Development of Cost of Preferred Stock</t>
  </si>
  <si>
    <t>321.80.b</t>
  </si>
  <si>
    <t>322.156.b</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</si>
  <si>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</si>
  <si>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</si>
  <si>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</si>
  <si>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</si>
  <si>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</si>
  <si>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</si>
  <si>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</si>
  <si>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</si>
  <si>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</si>
  <si>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</si>
  <si>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</si>
  <si>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</si>
  <si>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</si>
  <si>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</si>
  <si>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TP1</t>
  </si>
  <si>
    <t>TP1=</t>
  </si>
  <si>
    <t>Non-</t>
  </si>
  <si>
    <t xml:space="preserve"> The rates for each AEP company have been approved by their respective regulatory commissions.  </t>
  </si>
  <si>
    <t>Annual Tax Expenses by Type (Note 1)</t>
  </si>
  <si>
    <t xml:space="preserve">IPP CONTRIBUTIONS FOR CONSTRUCTION  </t>
  </si>
  <si>
    <t>TAXES OTHER THAN INCOME</t>
  </si>
  <si>
    <t>TOTAL OTHER TAXES</t>
  </si>
  <si>
    <t xml:space="preserve">The Long Term Debt balance for I&amp;M includes the accumulated balance of principle and related interest for Spent Nuclear Fuel Disposal Costs collected prior to April 7, 1983. </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</si>
  <si>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</si>
  <si>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</si>
  <si>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</si>
  <si>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</si>
  <si>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</si>
  <si>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</si>
  <si>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</si>
  <si>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</si>
  <si>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</si>
  <si>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</si>
  <si>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</si>
  <si>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</si>
  <si>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</si>
  <si>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</si>
  <si>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Detail of Account 561 Per FERC Form 1</t>
  </si>
  <si>
    <t>FF1 p 321.85.b</t>
  </si>
  <si>
    <t>561.1 - Load Dispatch - Reliability</t>
  </si>
  <si>
    <t>FF1 p 321.86.b</t>
  </si>
  <si>
    <t>561.2 - Load Dispatch - Monitor &amp; Operate Trans System</t>
  </si>
  <si>
    <t>FF1 p 321.87.b</t>
  </si>
  <si>
    <t>561.3 - Load Dispatch - Trans Service &amp; Scheduling</t>
  </si>
  <si>
    <t>FF1 p 321.88.b</t>
  </si>
  <si>
    <t>561.4 - Scheduling, System Control &amp; Dispatch</t>
  </si>
  <si>
    <t>FF1 p 321.89.b</t>
  </si>
  <si>
    <t>561.5 -  Reliability, Planning and Standards Development</t>
  </si>
  <si>
    <t>FF1 p 321.90.b</t>
  </si>
  <si>
    <t>561.6 - Transmission Service Studies</t>
  </si>
  <si>
    <t>FF1 p 321.91.b</t>
  </si>
  <si>
    <t>561.7 - Generation Interconnection Studies</t>
  </si>
  <si>
    <t>FF1 p 321.92.b</t>
  </si>
  <si>
    <t>561.8 -  Reliability, Planning and Standards Development Services</t>
  </si>
  <si>
    <t>Total of Account 561</t>
  </si>
  <si>
    <t>Company Records - Note 1</t>
  </si>
  <si>
    <t>NOTE 1</t>
  </si>
  <si>
    <t xml:space="preserve">NOTE 2 </t>
  </si>
  <si>
    <t xml:space="preserve">ADIT balances should exclude balances related to hedging activity. </t>
  </si>
  <si>
    <t>Interest Accrual (Company Records - Note 1)</t>
  </si>
  <si>
    <t>Revenue Credits to Generators (Company Records - Note 1)</t>
  </si>
  <si>
    <t>Accounting Adjustment  (Company Records - Note 1)</t>
  </si>
  <si>
    <t>Subtotal - Other Operating Revenues (Company Total equals (FF1 p. 300.26.(b))</t>
  </si>
  <si>
    <t>Apportionment Factors are determined as part of the Company's annual tax return for that jurisdiction.</t>
  </si>
  <si>
    <t>FERC FORM 1</t>
  </si>
  <si>
    <t>Tie-Back</t>
  </si>
  <si>
    <t>FERC FORM 1 Reference</t>
  </si>
  <si>
    <t xml:space="preserve">NOTE 1: The detail of each total company number and its source in the FERC Form 1 is shown on WS H-1. </t>
  </si>
  <si>
    <t>FERC</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</si>
  <si>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</si>
  <si>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</si>
  <si>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</si>
  <si>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</si>
  <si>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</si>
  <si>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</si>
  <si>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</si>
  <si>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</si>
  <si>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</si>
  <si>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</si>
  <si>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</si>
  <si>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</si>
  <si>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</si>
  <si>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</si>
  <si>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</si>
  <si>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</si>
  <si>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</si>
  <si>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</si>
  <si>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</si>
  <si>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</si>
  <si>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</si>
  <si>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</si>
  <si>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</si>
  <si>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</si>
  <si>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</si>
  <si>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</si>
  <si>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</si>
  <si>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</si>
  <si>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</si>
  <si>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</si>
  <si>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</si>
  <si>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</si>
  <si>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</si>
  <si>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</si>
  <si>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</si>
  <si>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</si>
  <si>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</si>
  <si>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</si>
  <si>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</si>
  <si>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</si>
  <si>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</si>
  <si>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</si>
  <si>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</si>
  <si>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</si>
  <si>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</si>
  <si>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 xml:space="preserve">  Production</t>
  </si>
  <si>
    <t>NA</t>
  </si>
  <si>
    <t xml:space="preserve">  Transmission</t>
  </si>
  <si>
    <t>DA</t>
  </si>
  <si>
    <t xml:space="preserve">  Distribution</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</si>
  <si>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</si>
  <si>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</si>
  <si>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</si>
  <si>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</si>
  <si>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</si>
  <si>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</si>
  <si>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</si>
  <si>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</si>
  <si>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</si>
  <si>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</si>
  <si>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</si>
  <si>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</si>
  <si>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</si>
  <si>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</si>
  <si>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</si>
  <si>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</si>
  <si>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</si>
  <si>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</si>
  <si>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</si>
  <si>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</si>
  <si>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</si>
  <si>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</si>
  <si>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</si>
  <si>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</si>
  <si>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</si>
  <si>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</si>
  <si>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</si>
  <si>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</si>
  <si>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</si>
  <si>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</si>
  <si>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</si>
  <si>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</si>
  <si>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</si>
  <si>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</si>
  <si>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</si>
  <si>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</si>
  <si>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</si>
  <si>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</si>
  <si>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</si>
  <si>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</si>
  <si>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</si>
  <si>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</si>
  <si>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</si>
  <si>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</si>
  <si>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</si>
  <si>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</si>
  <si>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</si>
  <si>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</si>
  <si>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</si>
  <si>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</si>
  <si>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</si>
  <si>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</si>
  <si>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</si>
  <si>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</si>
  <si>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January</t>
  </si>
  <si>
    <t>March</t>
  </si>
  <si>
    <t>April</t>
  </si>
  <si>
    <t>May</t>
  </si>
  <si>
    <t>July</t>
  </si>
  <si>
    <t>August</t>
  </si>
  <si>
    <t>December</t>
  </si>
  <si>
    <t>September</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</si>
  <si>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</si>
  <si>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</si>
  <si>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</si>
  <si>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</si>
  <si>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</si>
  <si>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</si>
  <si>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</si>
  <si>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</si>
  <si>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</si>
  <si>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</si>
  <si>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</si>
  <si>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</si>
  <si>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</si>
  <si>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</si>
  <si>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</si>
  <si>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</si>
  <si>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</si>
  <si>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</si>
  <si>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</si>
  <si>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</si>
  <si>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</si>
  <si>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</si>
  <si>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</si>
  <si>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</si>
  <si>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 xml:space="preserve"> Worksheet H-1 Form 1 Source Reference of Company Amounts on WS H</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</si>
  <si>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</si>
  <si>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</si>
  <si>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</si>
  <si>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</si>
  <si>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</si>
  <si>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</si>
  <si>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Removes plant excluded from the OATT because it does not meet the PJM's definition of Transmission Facilities or is otherwise ineligible to be recovered under the OATT.</t>
  </si>
  <si>
    <t>Less: Net Value of Exempted Generation Plant</t>
  </si>
  <si>
    <t xml:space="preserve">  Regional Market Expenses</t>
  </si>
  <si>
    <t>Worksheet D Supporting  IPP Credits</t>
  </si>
  <si>
    <t>Other Adjustments</t>
  </si>
  <si>
    <t>Production</t>
  </si>
  <si>
    <t xml:space="preserve">           Acct. 928 - Transmission Specific</t>
  </si>
  <si>
    <t>Remaining Unamortized Balance</t>
  </si>
  <si>
    <t>Amortization Period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</si>
  <si>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</si>
  <si>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</si>
  <si>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</si>
  <si>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</si>
  <si>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</si>
  <si>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 xml:space="preserve"> Worksheet H Supporting Taxes Other than Income</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</si>
  <si>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</si>
  <si>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</si>
  <si>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</si>
  <si>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</si>
  <si>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</si>
  <si>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</si>
  <si>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N</t>
  </si>
  <si>
    <t xml:space="preserve">  Customer Related Expense</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</si>
  <si>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</si>
  <si>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</si>
  <si>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</si>
  <si>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</si>
  <si>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</si>
  <si>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</si>
  <si>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</si>
  <si>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</si>
  <si>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</si>
  <si>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Incentive Amounts</t>
  </si>
  <si>
    <t>Long Term Debt</t>
  </si>
  <si>
    <t>Preferred Stock</t>
  </si>
  <si>
    <t>Actual after True-up</t>
  </si>
  <si>
    <t>R =</t>
  </si>
  <si>
    <t>PROJECTED YEAR</t>
  </si>
  <si>
    <t xml:space="preserve">   Return (Rate Base  x  R)</t>
  </si>
  <si>
    <t xml:space="preserve">   Return   (from B. above)</t>
  </si>
  <si>
    <t xml:space="preserve">   Income Tax Calculation  (Return  x  CIT)</t>
  </si>
  <si>
    <t xml:space="preserve">   Income Taxes</t>
  </si>
  <si>
    <t xml:space="preserve">   Income Taxes  (from I.C. above)</t>
  </si>
  <si>
    <t>Calculation of Composite Depreciation Rate</t>
  </si>
  <si>
    <t>Composite Depreciation Rate</t>
  </si>
  <si>
    <t>Depreciable Life for Composite Depreciation Rate</t>
  </si>
  <si>
    <t>Round to nearest whole year</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</si>
  <si>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</si>
  <si>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</si>
  <si>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</si>
  <si>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</si>
  <si>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</si>
  <si>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</si>
  <si>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</si>
  <si>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</si>
  <si>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</si>
  <si>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</si>
  <si>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</si>
  <si>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</si>
  <si>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</si>
  <si>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</si>
  <si>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</si>
  <si>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</si>
  <si>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</si>
  <si>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</si>
  <si>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</si>
  <si>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</si>
  <si>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</si>
  <si>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</si>
  <si>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</si>
  <si>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</si>
  <si>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</si>
  <si>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</si>
  <si>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</si>
  <si>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</si>
  <si>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</si>
  <si>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</si>
  <si>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</si>
  <si>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</si>
  <si>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</si>
  <si>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</si>
  <si>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 xml:space="preserve">  Prepayments (Account 165) - Transmission Only</t>
  </si>
  <si>
    <t>Account</t>
  </si>
  <si>
    <t>Gross Receipts Tax</t>
  </si>
  <si>
    <t>Federal Excise Tax</t>
  </si>
  <si>
    <t>Property</t>
  </si>
  <si>
    <t>Non-Allocable</t>
  </si>
  <si>
    <t xml:space="preserve"> Total Taxes by Allocable Basis</t>
  </si>
  <si>
    <r>
      <t xml:space="preserve">NOTE:  The net amount of hedging gains or losses recorded in account 427 to be recovered in this formula rate should be limited to the effective portion of pre-issuance cash flow hedges that are amortized over the life of the underlying debt issuances.  The recovery of a net loss or passback of a net gain will be limited to five basis points of the total Capital Structure.  </t>
    </r>
    <r>
      <rPr>
        <u/>
        <sz val="11"/>
        <rFont val="Arial"/>
        <family val="2"/>
      </rPr>
      <t>Amounts related to the ineffective portion of pre-issuance hedges, cash settlements of fair value hedges issued on Long Term Debt, post-issuance cash flow hedges, and cash flow hedges of variable rate debt issuances are not recoverable in this formula and are to be recorded in the “Excludable” column below.</t>
    </r>
  </si>
  <si>
    <t>Year End Total Agrees to FF1 p.112, Ln 3, col (c ) &amp; (d)</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</si>
  <si>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</si>
  <si>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</si>
  <si>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</si>
  <si>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</si>
  <si>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</si>
  <si>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</si>
  <si>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</si>
  <si>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</si>
  <si>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</si>
  <si>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</si>
  <si>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</si>
  <si>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</si>
  <si>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</si>
  <si>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</si>
  <si>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</si>
  <si>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</si>
  <si>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</si>
  <si>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</si>
  <si>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</si>
  <si>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Transmsission</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</si>
  <si>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</si>
  <si>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</si>
  <si>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</si>
  <si>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</si>
  <si>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</si>
  <si>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</si>
  <si>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</si>
  <si>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</si>
  <si>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</si>
  <si>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</si>
  <si>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</si>
  <si>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</si>
  <si>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</si>
  <si>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</si>
  <si>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</si>
  <si>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</si>
  <si>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</si>
  <si>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</si>
  <si>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</si>
  <si>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</si>
  <si>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</si>
  <si>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Includes only FICA, unemployment, highway, property and other assessments charged in the current year.  Gross receipts, sales &amp; use and taxes related to income are excluded.</t>
  </si>
  <si>
    <t>RTEP Rev. Req't.</t>
  </si>
  <si>
    <t xml:space="preserve">          TEMPLATE BELOW TO MAINTAIN HISTORY OF PROJECTED ARRS OVER THE </t>
  </si>
  <si>
    <t>RTEP Projected Rev. Req't.From Prior Year WS J</t>
  </si>
  <si>
    <t>HEDGE AMOUNTS BY ISSUANCE (FROM p. 256-257 (i) of the FERC Form 1)</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</si>
  <si>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</si>
  <si>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</si>
  <si>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</si>
  <si>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</si>
  <si>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</si>
  <si>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</si>
  <si>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</si>
  <si>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</si>
  <si>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</si>
  <si>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</si>
  <si>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</si>
  <si>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</si>
  <si>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</si>
  <si>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</si>
  <si>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</si>
  <si>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Distribution ARO (Enter Negative) </t>
  </si>
  <si>
    <t xml:space="preserve">  Less: General Plant ARO (Enter Negative) </t>
  </si>
  <si>
    <t xml:space="preserve">  Less: Production ARO (Enter Negative) </t>
  </si>
  <si>
    <t xml:space="preserve">  Less: Transmission ARO (Enter Negative) </t>
  </si>
  <si>
    <t>FF1, page 219, lns 20-24, Col. (b)</t>
  </si>
  <si>
    <t>FF1, page 219, ln 25, Col. (b)</t>
  </si>
  <si>
    <t>(Total Company Amount Ties to FFI p.114, Ln 14,(c))</t>
  </si>
  <si>
    <t>June</t>
  </si>
  <si>
    <t>Subtotal - Form 1, p 111.57.d</t>
  </si>
  <si>
    <t>Total O&amp;M Allocable to Transmission</t>
  </si>
  <si>
    <t xml:space="preserve">AEP East Companies </t>
  </si>
  <si>
    <t>Transmission Cost of Service Formula Rate</t>
  </si>
  <si>
    <t>AEP East Companies</t>
  </si>
  <si>
    <t xml:space="preserve">ITC Balances Includeable Ratebase </t>
  </si>
  <si>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</si>
  <si>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</si>
  <si>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AEP EAST COMPANIES</t>
  </si>
  <si>
    <t>Worksheet  - P CALCULATION OF</t>
  </si>
  <si>
    <t>TOTAL WEIGHTED AVERAGE DEPRECIATION RATES</t>
  </si>
  <si>
    <t>FOR TRANSMISSION PLANT PROPERTY ACCOUNT</t>
  </si>
  <si>
    <t>FOR MULTIPLE JURISDICTION COMPANIES</t>
  </si>
  <si>
    <t>FERC WHOLESALE</t>
  </si>
  <si>
    <t>COMPANY</t>
  </si>
  <si>
    <t>WTD AVG.</t>
  </si>
  <si>
    <t>PLANT</t>
  </si>
  <si>
    <t>ALLOCATION</t>
  </si>
  <si>
    <t>DEPREC.</t>
  </si>
  <si>
    <t>APPROVED</t>
  </si>
  <si>
    <t>ACCT.</t>
  </si>
  <si>
    <t>RATES</t>
  </si>
  <si>
    <t>RATE</t>
  </si>
  <si>
    <t xml:space="preserve"> TRANSMISSION PLANT</t>
  </si>
  <si>
    <t xml:space="preserve">  Structures &amp; Improvements</t>
  </si>
  <si>
    <t xml:space="preserve">  Station Equipment</t>
  </si>
  <si>
    <t xml:space="preserve">  Towers &amp; Fixtures</t>
  </si>
  <si>
    <t xml:space="preserve">  Poles &amp; Fixtures</t>
  </si>
  <si>
    <t xml:space="preserve">  Underground Conduit</t>
  </si>
  <si>
    <t xml:space="preserve">  Underground Conductors</t>
  </si>
  <si>
    <t>GENERAL NOTES:</t>
  </si>
  <si>
    <t xml:space="preserve"> O &amp; M EXPENSE SUBTOTAL</t>
  </si>
  <si>
    <t xml:space="preserve">Includes functional wages &amp; salaries billed by AEP Service Corporation  for support of the operating company. </t>
  </si>
  <si>
    <t>321.112.b</t>
  </si>
  <si>
    <t>322.131.b</t>
  </si>
  <si>
    <t>323.185.b</t>
  </si>
  <si>
    <t>336.7.f</t>
  </si>
  <si>
    <t>336.10.f</t>
  </si>
  <si>
    <t>336.1.f</t>
  </si>
  <si>
    <t>(Note N)</t>
  </si>
  <si>
    <t>336.8.f</t>
  </si>
  <si>
    <t>336.2-6.f</t>
  </si>
  <si>
    <t xml:space="preserve"> (Note O)</t>
  </si>
  <si>
    <t>T</t>
  </si>
  <si>
    <t>(Note S)</t>
  </si>
  <si>
    <t xml:space="preserve">       and FIT, SIT &amp; p are as given in Note O.</t>
  </si>
  <si>
    <t>354.23.b</t>
  </si>
  <si>
    <t>354.24,25,26.b</t>
  </si>
  <si>
    <t>354.20.b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</si>
  <si>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</si>
  <si>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</si>
  <si>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</si>
  <si>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</si>
  <si>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</si>
  <si>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</si>
  <si>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Distribution</t>
  </si>
  <si>
    <t>State Business &amp; Occupation Tax</t>
  </si>
  <si>
    <t>Production Taxes</t>
  </si>
  <si>
    <t>State Severance Taxes</t>
  </si>
  <si>
    <t>FF1, page 205 Col.(g) &amp; pg. 204 Col. (b), ln 46</t>
  </si>
  <si>
    <t>FF1, page 207 Col.(g) &amp; pg. 206 Col. (b), ln 58</t>
  </si>
  <si>
    <t>FF1, page 207 Col.(g) &amp; pg. 206 Col. (b), ln 75</t>
  </si>
  <si>
    <t>FF1, page 207 Col.(g) &amp; pg. 206 Col. (b), ln 74</t>
  </si>
  <si>
    <t>FF1, page 205 Col.(g) &amp; pg. 204 Col. (b), ln 5</t>
  </si>
  <si>
    <t>FF1, page 205&amp;204, Col.(g)&amp;(b), lns 15,24,34,44</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</si>
  <si>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</si>
  <si>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</si>
  <si>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</si>
  <si>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</si>
  <si>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</si>
  <si>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</si>
  <si>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</si>
  <si>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</si>
  <si>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</si>
  <si>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</si>
  <si>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</si>
  <si>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</si>
  <si>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</si>
  <si>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Relative Valuation Factor</t>
  </si>
  <si>
    <t>Functional Property Tax Allocation</t>
  </si>
  <si>
    <t>Real and Personal Property - Other Jurisdictions</t>
  </si>
  <si>
    <t>REVENUE REQUIREMENT For All Company Facilities</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</si>
  <si>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</si>
  <si>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</si>
  <si>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</si>
  <si>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</si>
  <si>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</si>
  <si>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FF1, p. 266-267, ln 8, Col. (h)</t>
  </si>
  <si>
    <t xml:space="preserve"> Worksheet B Supporting ADIT and ITC Balances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</si>
  <si>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</si>
  <si>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</si>
  <si>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</si>
  <si>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</si>
  <si>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additional incentive requirement is applicable for the life of this specific project.  Each year the revenue requirement calculated for PJM</t>
  </si>
  <si>
    <t>Revenue credits include:</t>
  </si>
  <si>
    <t>3) Rental revenues earned on assets included in the rate base.</t>
  </si>
  <si>
    <t>4) Revenues for associated business projects provided by employees whose labor and overhead costs are in the transmission cost of service.</t>
  </si>
  <si>
    <t>(Note I) (Worksheet F, ln 4.C)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</si>
  <si>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</si>
  <si>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</si>
  <si>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</si>
  <si>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</si>
  <si>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t>Accounts  4470004 &amp; 5, Revenues from Grandfathered Transmission Contracts - (Company Records - Note 1)</t>
  </si>
  <si>
    <t xml:space="preserve">     Plus: Transmission Lease Payments To Affiliates in Acct 565 (Company Records) (Note H)</t>
  </si>
  <si>
    <t>See Worksheet E for details.</t>
  </si>
  <si>
    <t xml:space="preserve"> Worksheet F Supporting Allocation of Specific O&amp;M or  A&amp;G Expenses</t>
  </si>
  <si>
    <t>Financial Hedge Recovery Limit  - Five Basis Points of Total Capital</t>
  </si>
  <si>
    <t>Limit of Recoverable Amount</t>
  </si>
  <si>
    <t>T =  Transmission</t>
  </si>
  <si>
    <t>G = General</t>
  </si>
  <si>
    <t>(Gain) / Loss</t>
  </si>
  <si>
    <t>U</t>
  </si>
  <si>
    <t>Worksheet C Supporting Working Capital Rate Base Adjustments</t>
  </si>
  <si>
    <t>Regulatory O&amp;M Deferrals &amp; Amortizations</t>
  </si>
  <si>
    <t>Total Regulatory Deferrals Included in Ratebase</t>
  </si>
  <si>
    <t>(Note E)</t>
  </si>
  <si>
    <t>Note 1</t>
  </si>
  <si>
    <t>(I)</t>
  </si>
  <si>
    <t xml:space="preserve">Average of </t>
  </si>
  <si>
    <t>Balances</t>
  </si>
  <si>
    <t xml:space="preserve">Subtotal - Form 1, p 111.57.c  </t>
  </si>
  <si>
    <t>(FF1 p.114, ln 19.c)</t>
  </si>
  <si>
    <t xml:space="preserve">  (State Income Tax Rate or Composite SIT.  Worksheet G))</t>
  </si>
  <si>
    <t>Average</t>
  </si>
  <si>
    <t>FF1, page 219, ln 26, Col. (b)</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</si>
  <si>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</si>
  <si>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</si>
  <si>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</si>
  <si>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</si>
  <si>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</si>
  <si>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</si>
  <si>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</si>
  <si>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</si>
  <si>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</si>
  <si>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</si>
  <si>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</si>
  <si>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</si>
  <si>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</si>
  <si>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</si>
  <si>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</si>
  <si>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</si>
  <si>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</si>
  <si>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</si>
  <si>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Transmission Materials &amp; Supplies</t>
  </si>
  <si>
    <t xml:space="preserve"> Worksheet G Supporting - Development of Composite State Income Tax Rate</t>
  </si>
  <si>
    <t>General Materials &amp; Supplies</t>
  </si>
  <si>
    <t xml:space="preserve">  Stores Expense </t>
  </si>
  <si>
    <t>Excludable</t>
  </si>
  <si>
    <t>Plant Related Insurance Policies</t>
  </si>
  <si>
    <t>Excess Deferred Income Tax</t>
  </si>
  <si>
    <t>Tax Affect of Permanent Differences</t>
  </si>
  <si>
    <t>Facility Credits under PJM OATT Section 30.9</t>
  </si>
  <si>
    <t xml:space="preserve"> Revenue Requirement for PJM Schedule 12 Facilities (w/o incentives)  (Worksheet J/K)</t>
  </si>
  <si>
    <t>(Worksheet B, ln 2 &amp; ln 5.E)</t>
  </si>
  <si>
    <t>(Worksheet B, ln 7 &amp; ln 10.E)</t>
  </si>
  <si>
    <t>(Worksheet B, ln 12 &amp; ln 15.E)</t>
  </si>
  <si>
    <t>(Worksheet B, ln 17 &amp; ln 20.E)</t>
  </si>
  <si>
    <t>(Worksheet B, ln 24 &amp; ln 25.E)</t>
  </si>
  <si>
    <t>(Worksheet C, ln 2.(F))</t>
  </si>
  <si>
    <t>(Worksheet C, ln 3.(F))</t>
  </si>
  <si>
    <t>(Worksheet C, ln 4.(F))</t>
  </si>
  <si>
    <t>(Note F) (Worksheet D, ln 8.B)</t>
  </si>
  <si>
    <t xml:space="preserve"> (Note U)</t>
  </si>
  <si>
    <t xml:space="preserve"> Worksheet I RESERVED FOR FUTURE USE</t>
  </si>
  <si>
    <t xml:space="preserve"> Worksheet L Reserved for Future Use</t>
  </si>
  <si>
    <t>True-up Adjustment - Over (Under) Recovery</t>
  </si>
  <si>
    <t>Interest Rate on Amount of Refunds or Surcharges</t>
  </si>
  <si>
    <t>Over (Under) Recovery Plus Interest</t>
  </si>
  <si>
    <t>Average Monthly Interest Rate</t>
  </si>
  <si>
    <t>Months</t>
  </si>
  <si>
    <t>Calculated Interest</t>
  </si>
  <si>
    <t>Amortization</t>
  </si>
  <si>
    <t>Surcharge (Refund) Owed</t>
  </si>
  <si>
    <t xml:space="preserve"> from 35.19a  </t>
  </si>
  <si>
    <t>Calculation of Interest</t>
  </si>
  <si>
    <t>Monthly</t>
  </si>
  <si>
    <t>February</t>
  </si>
  <si>
    <t>October</t>
  </si>
  <si>
    <t>November</t>
  </si>
  <si>
    <t>Annual</t>
  </si>
  <si>
    <t>January  through December</t>
  </si>
  <si>
    <t>Over (Under) Recovery Plus Interest Amortized and Recovered Over 12 Months</t>
  </si>
  <si>
    <t>Less Over (Under) Recovery</t>
  </si>
  <si>
    <t>Total Interest</t>
  </si>
  <si>
    <t>Cost of Service Formula Rate Using Actual/Projected FF1 Balances</t>
  </si>
  <si>
    <t>Worksheet Q - True-up With Interest</t>
  </si>
  <si>
    <t>True-Up Adjustment with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</si>
  <si>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</si>
  <si>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C, ln 8.F)</t>
  </si>
  <si>
    <t>(Worksheet C, ln 8.G)</t>
  </si>
  <si>
    <t>(Worksheet C, ln 8.E)</t>
  </si>
  <si>
    <t>(Worksheet C, ln 8.D)</t>
  </si>
  <si>
    <t>7) If AEP East companies have any directly assigned transmission facilities, the revenue credits in the AEP East formula rate shall include all revenues associated with those directly assigned transmission facilities, irrespective of whether the loads of the customer are included in the formula rate divisor; provided however, such addition to revenue credits shall not be reflected if the costs of such directly assigned transmission facilities are not included in the transmission plant balances on which the formula rate ATRR is based.</t>
  </si>
  <si>
    <t>The company will not include the ADIT portion of deferred hedge gains and losses in rate base.  Detailed balances for the projected or actual period, distinguished between utility and non-utility balances, will be filed and posted as part of the information filing.</t>
  </si>
  <si>
    <t xml:space="preserve">The total-company balances shown for Accounts 281, 282, 283, 190 only reflect ADIT that relates to utility operations. The balance of Account 255 is reduced by prior flowthrough and is completely excluded if the utility chose to utilize amortization of tax credits against FIT expense. An exception to this is pre-1971 ITC balances, which are required to be taken as an offset to rate base. Account 281 is not allocated.  </t>
  </si>
  <si>
    <t>In compliance with FERC Rulemaking the calculation of ADIT in the annual projection will be performed in accordance with IRS regulation Section1.167(I)-I(h)(6)(ii).</t>
  </si>
  <si>
    <t>RM02-7-000, Asset Retirement Obligation deferrals have been removed from ratebase. Transmission ADIT allocations are shown on WS B.</t>
  </si>
  <si>
    <t xml:space="preserve">Removes the impact of state regulatory deferrals or their amortization from Transmission O&amp;M expense. </t>
  </si>
  <si>
    <t>Expenses recorded in FERC Accounts 928 (Regulatory Commission Expense), 930.1 (Safety Related Advertising) and 930.2 (Miscellaneouse General Expenses) that are not directly related to or properly allocable to transmission service will be removed from the TCOS.  If AEP includes any expenses booked to these accounts in future ATRR updates, AEP must provide supporting information demonstrating that the underlying activities are directly related to providing transmission service.  Account 930.2 includes the expenses incurred by the transmission function for Associated Business Development revenues given as a credit to the TCOS on Worksheet E.</t>
  </si>
  <si>
    <t>The amount of eligible hedging gains or losses included in total interest expense is limited to five basis points of the capital structure.  Details and calculations of the weighted average cost of captial are shown on Worksheet M.  Eligible Hedging Gains and Losses are computed on Worksheet M.The unamortized balance of eligible hedge gains/losses and related ADIT amounts shall not flow through the formula rate.</t>
  </si>
  <si>
    <t>The cost rates for long-term debt shall include interest expense and related periodic expenses (such as remarketing and letter of credit fees) as recorded in FERC Account 427 or 430, amortization of issuance costs (including insurance) and discounts as recorded in FERC Account 428, issuance premiums as recorded in FERC Account 429 and losses or gains on reacquired debt as recorded in FERC Accounts 428.1 or 429.1, respectively.  The cost rates for preferred stock (if applicable) shall include the dividends.</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</si>
  <si>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</si>
  <si>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</si>
  <si>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X</t>
  </si>
  <si>
    <t>W</t>
  </si>
  <si>
    <t>The formula rate shall allocate property tax expense based on the as filed net plant cost allocation method detailed on Worksheet H.</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</si>
  <si>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</si>
  <si>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Lease Payments, Return and Taxes</t>
  </si>
  <si>
    <t>ADDITIONAL REVENUE REQUIREMENT for projects w/ incentive ROE's (Note B) (Worksheet J/K)</t>
  </si>
  <si>
    <t xml:space="preserve">The formula rate shall reflect the applicable state and federal statutory tax rates in effect during the period the calculated estimated unit charges are applicable.  </t>
  </si>
  <si>
    <t>If the statutory tax rates change during such period, the effective tax rates used in the formula shall be weighted by the number of days the pre-change rate and post-change rate each is in effect.</t>
  </si>
  <si>
    <t>The annual and monthly net plant carrying charges on page 1 are used to compute the revenue requirement for RTEP sponsored upgrades or those projects receiving approved incentive-ROE's.  Interest  will be calculated based on Worksheet Q and any over under recovery will be filed and posted as part of the informational filing.</t>
  </si>
  <si>
    <t xml:space="preserve">Prepaid Lease </t>
  </si>
  <si>
    <t>Real and Personal Property - Tennessee</t>
  </si>
  <si>
    <t>Less: Net Value  Exempted Generation Plant</t>
  </si>
  <si>
    <t>Taxable Property Basis</t>
  </si>
  <si>
    <t>Real and Personal Property - West Virginia</t>
  </si>
  <si>
    <t>Real and Personal Property - Virginia</t>
  </si>
  <si>
    <t xml:space="preserve">**  This is the total amount that needs to be reported to PJM for billing to all regions. </t>
  </si>
  <si>
    <t>## This is the calculation of  additional incentive revenue on projects deemed by the FERC to be eligible for an incentive return.  This</t>
  </si>
  <si>
    <t>VIRGINIA</t>
  </si>
  <si>
    <t>WEST VIRGINIA</t>
  </si>
  <si>
    <t>FERC KINGSPORT</t>
  </si>
  <si>
    <t>PSC OF WV</t>
  </si>
  <si>
    <t>VA SCC</t>
  </si>
  <si>
    <t>FACTOR  (5)</t>
  </si>
  <si>
    <t xml:space="preserve">(4)  </t>
  </si>
  <si>
    <t xml:space="preserve">(5)  </t>
  </si>
  <si>
    <t>Attachment H-14B, Part II, pg. 15 of 21.</t>
  </si>
  <si>
    <t xml:space="preserve">(6)  </t>
  </si>
  <si>
    <t xml:space="preserve">(Worksheet E Ln 8) (Note A) </t>
  </si>
  <si>
    <t>(Worksheet E Ln 9) (Note X)</t>
  </si>
  <si>
    <t>Note 2</t>
  </si>
  <si>
    <t>The total of line 4 and line 5 will equal total Account 456 as listed on FF1 p.300.21-22.(b)</t>
  </si>
  <si>
    <t>5a</t>
  </si>
  <si>
    <t>5b</t>
  </si>
  <si>
    <t>Account 457.2, Miscellaneous Revenues (FF1p.300.24.(b); Company Records - Note 1)</t>
  </si>
  <si>
    <t>Account 457.1, Regional Control Service  Revenues (FF1 p.300.23.(b); Company Records - Note 1)</t>
  </si>
  <si>
    <t>Total (FERC Form 1 p.323.189.b)</t>
  </si>
  <si>
    <t>Total (FERC Form 1 p.323.191.b)</t>
  </si>
  <si>
    <t>Total (FERC Form 1 p.323.192.b)</t>
  </si>
  <si>
    <t>Privileged and Confidential</t>
  </si>
  <si>
    <t>Subject to FERC Rules 602 and 606</t>
  </si>
  <si>
    <t>Gross Proceeds Outstanding Long-Term Debt</t>
  </si>
  <si>
    <t>Y</t>
  </si>
  <si>
    <t>Note 1:</t>
  </si>
  <si>
    <t>Transmission Accum Depreciation net of GSU</t>
  </si>
  <si>
    <t>December  of Rate Year</t>
  </si>
  <si>
    <t xml:space="preserve">August </t>
  </si>
  <si>
    <t xml:space="preserve">March </t>
  </si>
  <si>
    <t>December Prior to Rate Year</t>
  </si>
  <si>
    <t>Company Records</t>
  </si>
  <si>
    <t>(Note A)</t>
  </si>
  <si>
    <t>(e)</t>
  </si>
  <si>
    <t>(d)</t>
  </si>
  <si>
    <t>(c)</t>
  </si>
  <si>
    <t>(b)</t>
  </si>
  <si>
    <t>(a)</t>
  </si>
  <si>
    <t>Excluded Plant  - Accumulated Depreciation</t>
  </si>
  <si>
    <t>Excluded Plant  - Plant In Service</t>
  </si>
  <si>
    <t>OATT Ancillary Services (GSU) Accumulated Depreciation</t>
  </si>
  <si>
    <t>OATT Ancillary Services (GSU) Plant In Service</t>
  </si>
  <si>
    <t>Month</t>
  </si>
  <si>
    <t>Line 
No</t>
  </si>
  <si>
    <t>(j)</t>
  </si>
  <si>
    <t>(i)</t>
  </si>
  <si>
    <t>(h)</t>
  </si>
  <si>
    <t>Intangible</t>
  </si>
  <si>
    <t>General ARO</t>
  </si>
  <si>
    <t>Distribution ARO</t>
  </si>
  <si>
    <t>Transmission ARO</t>
  </si>
  <si>
    <t>Production ARO</t>
  </si>
  <si>
    <t>Accumulated Depreciation</t>
  </si>
  <si>
    <t>Gross Plant In Service</t>
  </si>
  <si>
    <t xml:space="preserve"> Worksheet A Rate Base</t>
  </si>
  <si>
    <t>(f)</t>
  </si>
  <si>
    <t>(g)</t>
  </si>
  <si>
    <t>Acct. 359.1
FF1, page 207 Col.(g) &amp; pg. 206 Col. (b), ln 57</t>
  </si>
  <si>
    <t xml:space="preserve">
FF1, page 207 Col.(g) &amp; pg. 206 Col. (b), ln 99</t>
  </si>
  <si>
    <t>Acct. 399.1
FF1, page 207 Col.(g) &amp; pg. 206 Col. (b), ln 98</t>
  </si>
  <si>
    <t>Company Records (Included in total in Column (b))</t>
  </si>
  <si>
    <t>Company Records (Included in total in Column (d))</t>
  </si>
  <si>
    <t>Company Records (Included in total in Column (f))</t>
  </si>
  <si>
    <t>Company Records (Included in total in Column (h))</t>
  </si>
  <si>
    <t>Company Records (included in total in column (d) of gross plant above)</t>
  </si>
  <si>
    <t>Company Records (included in total in column (b) of accumulated depreciation above)</t>
  </si>
  <si>
    <t>Tax Year</t>
  </si>
  <si>
    <t>NOTE 2: The ratebase should not include the unamoritzed balance of hedging gains or losses.</t>
  </si>
  <si>
    <t xml:space="preserve">NOTE 1: On this worksheet, "Company Records" refers to AEP's property accounting ledger. </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</si>
  <si>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</si>
  <si>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</si>
  <si>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</si>
  <si>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</si>
  <si>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</si>
  <si>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</si>
  <si>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</si>
  <si>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</si>
  <si>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</si>
  <si>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Average Balance of Long Term Debt</t>
  </si>
  <si>
    <t>Less: Fair Value Hedges</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</si>
  <si>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</si>
  <si>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</si>
  <si>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</si>
  <si>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</si>
  <si>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</si>
  <si>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</si>
  <si>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</si>
  <si>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Acct 224
Senior Unsecured Notes</t>
  </si>
  <si>
    <t>Acct 223 
LT Advances from Assoc. Companies</t>
  </si>
  <si>
    <t>Less: Acct 222 Reacquired Bonds</t>
  </si>
  <si>
    <t>Acct 221 
Bonds</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</si>
  <si>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</si>
  <si>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</si>
  <si>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</si>
  <si>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</si>
  <si>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</si>
  <si>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</si>
  <si>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</si>
  <si>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</si>
  <si>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</si>
  <si>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</si>
  <si>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</si>
  <si>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</si>
  <si>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</si>
  <si>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</si>
  <si>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</si>
  <si>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</si>
  <si>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</si>
  <si>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</si>
  <si>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</si>
  <si>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</si>
  <si>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</si>
  <si>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</si>
  <si>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</si>
  <si>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</si>
  <si>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</si>
  <si>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</si>
  <si>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</si>
  <si>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</si>
  <si>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</si>
  <si>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</si>
  <si>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282:</t>
  </si>
  <si>
    <t>TOTAL ACOUNT 282</t>
  </si>
  <si>
    <t>ACCOUNT 283:</t>
  </si>
  <si>
    <t>DEFD STATE INCOME TAXES</t>
  </si>
  <si>
    <t>TOTAL ACCOUNT 283</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</si>
  <si>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</si>
  <si>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</si>
  <si>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</si>
  <si>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</si>
  <si>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</si>
  <si>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</si>
  <si>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DEBIT  (CREDIT)</t>
  </si>
  <si>
    <t>ACCOUNT 190:</t>
  </si>
  <si>
    <t>TOTAL ACCOUNT 190</t>
  </si>
  <si>
    <t>ACCOUNT 282 - ARO-Related Deferals</t>
  </si>
  <si>
    <t>ACCOUNT 283 - ARO-Related Deferals</t>
  </si>
  <si>
    <t>ACCOUNT 190 - ARO-Related Deferals</t>
  </si>
  <si>
    <t>ACCOUNT 281 - ARO-Related Deferrals</t>
  </si>
  <si>
    <t>UNFUNDED RESERVES (ENTER NEGATIVE) (NOTE Y)</t>
  </si>
  <si>
    <t>Tax Effect of Permanent and Flow-Through Differences</t>
  </si>
  <si>
    <t>323.197.b (Notes J and M)</t>
  </si>
  <si>
    <t>53a</t>
  </si>
  <si>
    <t>53b</t>
  </si>
  <si>
    <t>Real Estate and Personal Property Taxes Total
(Ln 4 + Ln 5 + Ln 6 + Ln 7)</t>
  </si>
  <si>
    <t>Transmission Function
(Note 2)</t>
  </si>
  <si>
    <t>Total
Company</t>
  </si>
  <si>
    <t>FERC FORM 1
Tie-Back</t>
  </si>
  <si>
    <t>Real Estate and Personal Propety Tax Detail 
Annual Tax Expenses by Type (Note 1)</t>
  </si>
  <si>
    <t>Unfunded Reserves Summary (Company Records)</t>
  </si>
  <si>
    <t>GP</t>
  </si>
  <si>
    <r>
      <t>NP</t>
    </r>
    <r>
      <rPr>
        <b/>
        <strike/>
        <sz val="12"/>
        <color indexed="10"/>
        <rFont val="Arial"/>
        <family val="2"/>
      </rPr>
      <t/>
    </r>
  </si>
  <si>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</si>
  <si>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Prepayment Balance Summary (Note 1)</t>
  </si>
  <si>
    <t>Stores Expense (Undistributed) - Account 163</t>
  </si>
  <si>
    <t>Account 4560015, Associated Business Development - (Company Records - Notes 1, 2)</t>
  </si>
  <si>
    <t>Account 456 - Other Electric Revenues - (Company Records - Notes 1,2)</t>
  </si>
  <si>
    <t>Note 1: The taxes assessed on each operating company can differ from year to year and between operating companies by both the type of taxes and the states in which they were assessed.  Therefore, for each company, the types and jurisdictions of tax expense recorded on this page could differ from the same page in the same company's prior year template or from this page in other operating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</si>
  <si>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</si>
  <si>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</si>
  <si>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</si>
  <si>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</si>
  <si>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</si>
  <si>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Worksheet K -  ATRR TRUE-UP Calculation for PJM Projects Charged to Benefiting Zones</t>
  </si>
  <si>
    <t>INDIANA MICHIGAN POWER COMPANY</t>
  </si>
  <si>
    <t>INDIANA</t>
  </si>
  <si>
    <t>MPSC</t>
  </si>
  <si>
    <t>IURC</t>
  </si>
  <si>
    <t>FACTOR  (4)</t>
  </si>
  <si>
    <t xml:space="preserve">  Land Improvements</t>
  </si>
  <si>
    <t xml:space="preserve">  Overhead Conductors</t>
  </si>
  <si>
    <t xml:space="preserve">  Trails &amp; Roads</t>
  </si>
  <si>
    <t>I&amp;M falls under the authority of Indiana, Michigan and the FERC.  Therefore, I&amp;M's rates are a composite of the jurisdictions under which it operates. Each jurisdictions' rate is multiplied by an allocation factor, and the product for each jurisdiction is added with the other jurisdictions to derive the composite rate for the company.</t>
  </si>
  <si>
    <t>PJM FORMULA RATE</t>
  </si>
  <si>
    <t>WORKSHEET P - TRANSMISSION DEPRECIATION RATES</t>
  </si>
  <si>
    <t>FOR SINGLE JURISDICTION COMPANIES</t>
  </si>
  <si>
    <t>KINGSPORT POWER COMPANY</t>
  </si>
  <si>
    <t xml:space="preserve">  Composite Transmission Depreciation Rate</t>
  </si>
  <si>
    <t>Reference:</t>
  </si>
  <si>
    <t>General Note</t>
  </si>
  <si>
    <t>EFFECTIVE AS OF 07/1/2015</t>
  </si>
  <si>
    <t>KENTUCKY  POWER COMPANY</t>
  </si>
  <si>
    <t xml:space="preserve">  Land Rights</t>
  </si>
  <si>
    <t>Note 1:  Rates Approved in KPSC Case No. 2014-00396.</t>
  </si>
  <si>
    <t>OHIO POWER COMPANY</t>
  </si>
  <si>
    <t xml:space="preserve">   Twrs and Fixtures Above 69 KV</t>
  </si>
  <si>
    <t xml:space="preserve">   Twrs and Fixtures Below 69 KV</t>
  </si>
  <si>
    <t xml:space="preserve">   Poles and Fixtures Above 69 KV</t>
  </si>
  <si>
    <t xml:space="preserve">   Poles and Fixtures Below 69 KV</t>
  </si>
  <si>
    <t xml:space="preserve">   Overhead Conductor &amp; Devices Above 69KV</t>
  </si>
  <si>
    <t xml:space="preserve">   Overhead Conductor &amp; Devices MSP</t>
  </si>
  <si>
    <t xml:space="preserve">   Overhead Conductor &amp; Devices 138KV/Above</t>
  </si>
  <si>
    <t xml:space="preserve">   Overhead Conductor &amp; Devices 69KV/Below</t>
  </si>
  <si>
    <t xml:space="preserve">   Overhead Conductor &amp; Devices CLR 69KV/Below</t>
  </si>
  <si>
    <t>Note 1:   These are the weighted average of the depreciation rates in effect for</t>
  </si>
  <si>
    <t>Columbus Southern Power and Ohio Power prior to the merger of Columbus</t>
  </si>
  <si>
    <t>Southern into Ohio Power.</t>
  </si>
  <si>
    <t>General Note:</t>
  </si>
  <si>
    <t>WHEELING POWER COMPANY</t>
  </si>
  <si>
    <t>-</t>
  </si>
  <si>
    <t>Note 1:  Rates Approved in WV Public Service Commission Case No. 14-1151-E-D.</t>
  </si>
  <si>
    <t>GENERAL PLANT</t>
  </si>
  <si>
    <t>Structures &amp; Improvements</t>
  </si>
  <si>
    <t>Office Furniture &amp; Equipment</t>
  </si>
  <si>
    <t>Stores Equipment</t>
  </si>
  <si>
    <t>Tools Shop &amp; Garage Equipment</t>
  </si>
  <si>
    <t>Laboratory Equipment</t>
  </si>
  <si>
    <t>Communication Equipment</t>
  </si>
  <si>
    <t>Miscellaneous Equipment</t>
  </si>
  <si>
    <t>Total General Plant</t>
  </si>
  <si>
    <t>On this worksheet, "Company Records" refers to AEP's tax forecast and accounting ledger.  The PTRR will use projected ending balances and reflect proration required by IRS Letter Rule Section I.I67(I)-I(h)(6)(ii).  Line item detail of actual deferred tax items will be included on Worksheets B-1 and B-2.</t>
  </si>
  <si>
    <t>Tax Year 
Factor
(Note 2)</t>
  </si>
  <si>
    <t>SPECIFIED DEFERRED CREDITS - Actual Cycle Only</t>
  </si>
  <si>
    <t>ACCUMULATED DEFERRED INCOME TAX IN ACCOUNT 190 - Actual Cycle Only</t>
  </si>
  <si>
    <t>Twelve Months Ended</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</si>
  <si>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the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</si>
  <si>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44)</t>
    </r>
  </si>
  <si>
    <t>AEP will make a 205 filing whenever a company's rates are changed by their commission(s), or if the methodology to calculate the jurisdictional allocator in multiple-state companies changes.   Changes in the allocation factors will not necessitate a 205 filing.</t>
  </si>
  <si>
    <t>Total AEP East Operating Company PBOP Settlement Amount</t>
  </si>
  <si>
    <t>Total Company Amount</t>
  </si>
  <si>
    <t>Actual Expense (Including AEPSC Billed OPEB)</t>
  </si>
  <si>
    <t>Ratio of Company Actual to Total</t>
  </si>
  <si>
    <t>Allocation of PBOB Recovery Allowance</t>
  </si>
  <si>
    <t>One Year Functional Expense (Over)/Under</t>
  </si>
  <si>
    <t>Allowable Expense</t>
  </si>
  <si>
    <t>Line#</t>
  </si>
  <si>
    <t>Actual Expense</t>
  </si>
  <si>
    <t>(B)=(A)/Total (A)</t>
  </si>
  <si>
    <t>(E)=(A) * (D)</t>
  </si>
  <si>
    <t>(F)=(C) * (D)</t>
  </si>
  <si>
    <t>(G)=(E) - (F)</t>
  </si>
  <si>
    <t>APCo</t>
  </si>
  <si>
    <t>I&amp;M</t>
  </si>
  <si>
    <t>KPCo</t>
  </si>
  <si>
    <t>KNGP</t>
  </si>
  <si>
    <t>OPCo</t>
  </si>
  <si>
    <t>WPCo</t>
  </si>
  <si>
    <t>KNGSPT</t>
  </si>
  <si>
    <t>AEP East Total</t>
  </si>
  <si>
    <t>Direct Charged PBOP Expense per Actuarial Report</t>
  </si>
  <si>
    <t>Additional PBOP Ledger Entries (from Company Records)</t>
  </si>
  <si>
    <t>Medicare Subsidy</t>
  </si>
  <si>
    <t>PBOP Expenses From AEP Service Corporation (from Company Records)</t>
  </si>
  <si>
    <t xml:space="preserve">For the rate year 2017 and adjusted every four years thereafter, using the annual actuarial report produced for that year, filed as part of the informational filing, Worksheet O will be used to adjust PBOP costs for the next four years (i.e. 2017, 2018, 2019, 2020).  If the annual actuarial report projects PBOP costs during the next four years, taken together with the then current cumulative PBOP cost/allowance position, will, absent a change in the PBOP allowance, cause the AEP Companies to over or under collect their cumulative PBOP costs by more than 20% of the projected next four year’s total cost, the PBOP allowance shall be adjusted. Worksheet O will be used in the process of updating the PBOP allowance determining (a)  the level of cumulative over or under collections during the period since the PBOP allowance was last set, including carrying costs based on the weighted average cost of capital (“WACC”) each year from the actual formula rate; (b) the cumulative net present value of projected PBOP costs during the next four years, as estimated by the then current actuarial report, assuming a discount rate equal to the actual formula rate weighted average cost of capital for the prior calendar year; and (c) the cumulative net present value of continued collections over the next four years based on the then effective PBOP allowance, assuming a discount rate equal to the prior year WACC.  If the absolute value of (a)+(b)-(c) exceeds 20% of (b), then the PBOP allowance used in the formula rate calculation shall be changed to the value that will cause the projected result (a)+(b)-(c) to equal zero.  If the projected over or under collection during the next four years will be less than 20% of (b), then the PBOP allowacance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expense stated in the formula rate shown on Worksheet O.  No other changes to the formula rate may be included in that filing. </t>
  </si>
  <si>
    <t>Worksheet O - Calculation of Postemployment Benefits Other than Pensions Expenses Allocable to Transmission Service</t>
  </si>
  <si>
    <t>Detail of Actual PBOP Expenses to be Removed in Cost of Service</t>
  </si>
  <si>
    <t>Acct. 9260039 PBOP Expense</t>
  </si>
  <si>
    <t xml:space="preserve">          Acct. 9260057 PBOP Medicare Subsidy</t>
  </si>
  <si>
    <t xml:space="preserve">               PBOP Expense Billed From AEPSC</t>
  </si>
  <si>
    <t xml:space="preserve">         Settlement Approved PBOP Recovery</t>
  </si>
  <si>
    <t>See note K above.  Per the settlement in Docket ER08-1329, recoverable PBOP expense is based on an annual total for the operating companies that is ratioed to them based on the total of actual annual PBOP costs, including charges from the AEP Service Corportation. The calculation of the recoverable amount for each company is shown on Worksheet O.</t>
  </si>
  <si>
    <t>PBOP Worksheet O, Col. C  (Note M)</t>
  </si>
  <si>
    <t>These deductions on lines 81 through 83 are to remove from the cost of service the expenses recorded by the company for Postemployment Benefits Other than Pensions (PBOP).  See Note M below for the recoverable PBOP expense.</t>
  </si>
  <si>
    <t xml:space="preserve">Average of the 13 Monthly Balances </t>
  </si>
  <si>
    <t>Average of the 13 Monthly Balances</t>
  </si>
  <si>
    <t>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t>
  </si>
  <si>
    <t>The cost of service will make a rate base adjustment to remove unfunded reserves associated with contingent liabilites recorded to Accounts 228.1-228.4 from rate base.</t>
  </si>
  <si>
    <t>Transmission Plant Balances in this study are projected or actual average of 13-month balances.</t>
  </si>
  <si>
    <t>Appalachian Power Company</t>
  </si>
  <si>
    <t>Accum Prv I/D Worker's Com</t>
  </si>
  <si>
    <t>1650001</t>
  </si>
  <si>
    <t>Prepaid Insurance</t>
  </si>
  <si>
    <t>Prepaid Taxes</t>
  </si>
  <si>
    <t>1650004</t>
  </si>
  <si>
    <t>Prepaid Interest</t>
  </si>
  <si>
    <t>1650006</t>
  </si>
  <si>
    <t>Other Prepayments</t>
  </si>
  <si>
    <t>1650009</t>
  </si>
  <si>
    <t>Prepaid Carry Cost-Factored AR</t>
  </si>
  <si>
    <t>1650010</t>
  </si>
  <si>
    <t>Prepaid Use Taxes</t>
  </si>
  <si>
    <t>1650014</t>
  </si>
  <si>
    <t>FAS 158 Qual Contra Asset</t>
  </si>
  <si>
    <t>1650016</t>
  </si>
  <si>
    <t>FAS 112 ASSETS</t>
  </si>
  <si>
    <t>1650021</t>
  </si>
  <si>
    <t>Prepaid Insurance - EIS</t>
  </si>
  <si>
    <t>1650023</t>
  </si>
  <si>
    <t>Prepaid Lease</t>
  </si>
  <si>
    <t>1650035</t>
  </si>
  <si>
    <t>PRW Without MED-D Benefits</t>
  </si>
  <si>
    <t>1650036</t>
  </si>
  <si>
    <t>PRW for Med-D Benefits</t>
  </si>
  <si>
    <t>1650037</t>
  </si>
  <si>
    <t>FAS158 Contra-PRW Exclud Med-D</t>
  </si>
  <si>
    <t>AR Factoring</t>
  </si>
  <si>
    <t>Prepaid Use Taxes Gen</t>
  </si>
  <si>
    <t>Prepaid Insurance EIS</t>
  </si>
  <si>
    <t>Pension Benefits - All functions</t>
  </si>
  <si>
    <t>Virginia T-RAC UnderRecovery</t>
  </si>
  <si>
    <t>9280000</t>
  </si>
  <si>
    <t>Regulatory Commission Exp</t>
  </si>
  <si>
    <t>9301000</t>
  </si>
  <si>
    <t>General Advertising Expenses</t>
  </si>
  <si>
    <t>9301001</t>
  </si>
  <si>
    <t>Newspaper Advertising Space</t>
  </si>
  <si>
    <t>9301002</t>
  </si>
  <si>
    <t>Radio Station Advertising Time</t>
  </si>
  <si>
    <t>9301003</t>
  </si>
  <si>
    <t>TV Station Advertising Time</t>
  </si>
  <si>
    <t>9301004</t>
  </si>
  <si>
    <t>Newspaper Advertising Prod Exp</t>
  </si>
  <si>
    <t>9301007</t>
  </si>
  <si>
    <t>Special Adv Space &amp; Prod Exp</t>
  </si>
  <si>
    <t>9301010</t>
  </si>
  <si>
    <t>Publicity</t>
  </si>
  <si>
    <t>9301012</t>
  </si>
  <si>
    <t>Public Opinion Surveys</t>
  </si>
  <si>
    <t>9301014</t>
  </si>
  <si>
    <t>Video Communications</t>
  </si>
  <si>
    <t>9301015</t>
  </si>
  <si>
    <t>Other Corporate Comm Exp</t>
  </si>
  <si>
    <t>9302000</t>
  </si>
  <si>
    <t>Misc General Expenses</t>
  </si>
  <si>
    <t>9302003</t>
  </si>
  <si>
    <t>Corporate &amp; Fiscal Expenses</t>
  </si>
  <si>
    <t>9302004</t>
  </si>
  <si>
    <t>Research, Develop&amp;Demonstr Exp</t>
  </si>
  <si>
    <t>9302006</t>
  </si>
  <si>
    <t>9302007</t>
  </si>
  <si>
    <t>Assoc Business Development Exp</t>
  </si>
  <si>
    <t>Ohio Franchise Tax Rate</t>
  </si>
  <si>
    <t>Phase-out Factor Note 1</t>
  </si>
  <si>
    <t>VIRGINIA JURISDICTION</t>
  </si>
  <si>
    <t>WEST VA JURISDICTION</t>
  </si>
  <si>
    <t>TENNESSEE JURISDICTION</t>
  </si>
  <si>
    <t>APCo Worksheet J -  ATRR PROJECTED Calculation for PJM Projects Charged to Benefiting Zones</t>
  </si>
  <si>
    <t>RTEP ID: b0318 (Amos 765/138 kV Transformer)</t>
  </si>
  <si>
    <t>No</t>
  </si>
  <si>
    <t>RTEP ID: b1712.2 (Altavista-Leesville 138kV line)</t>
  </si>
  <si>
    <t>RTEP ID: b2020 (Rebuild Amos-Kanawha River 138 kV corridor)</t>
  </si>
  <si>
    <t>RTEP ID: b2021 (Kanawha River Gen Retirement - Upgrades)</t>
  </si>
  <si>
    <t>RTEP ID: b2017 (Rebuild Sporn-Waterford-Muskingum River 345 kV line)</t>
  </si>
  <si>
    <t>RTEP ID: b1660 (Install a 765/500 kV transformer at Cloverdale)</t>
  </si>
  <si>
    <t>RTEP ID: b1660.1 (Cloverdale: Establish 500 kV station and 500 to 765 kV tie)</t>
  </si>
  <si>
    <t>RTEP ID: b1663.2 (Jacksons Ferry 765 kV breakers, switches, bus work, and relays)</t>
  </si>
  <si>
    <t>RTEP ID: b1875 (138 kV Bradley to McClung upgrades)</t>
  </si>
  <si>
    <t>RTEP ID: b1797.1 (Reconductor portion of Cloverdale-Lexington 500 kV line)</t>
  </si>
  <si>
    <t>RTEP ID: b1712.1 (Altavista-Leesville 138kV line)</t>
  </si>
  <si>
    <t>RTEP ID: b2687.2 (Install a 300 MVAR shunt line reactor Broadford-Jacksons Ferry 765 kV line)</t>
  </si>
  <si>
    <t>RTEP ID: b2687.1 (Install a 450 MVAR SVC Jacksons Ferry 765kv Substation)</t>
  </si>
  <si>
    <t>RTEP ID: b2230 (Amos Station retire three 765kV reactors Amos-Hanging Rock)</t>
  </si>
  <si>
    <t>Prepayed Taxes</t>
  </si>
  <si>
    <t>Other prepayments - Gen</t>
  </si>
  <si>
    <t>Prepaid Coal</t>
  </si>
  <si>
    <t>Prefunded Pension Exp</t>
  </si>
  <si>
    <t>SFAS 158 Offset</t>
  </si>
  <si>
    <t>9280001</t>
  </si>
  <si>
    <t>Regulatory Commission Exp-Adm</t>
  </si>
  <si>
    <t>9280002</t>
  </si>
  <si>
    <t>Regulatory Commission Exp-Case</t>
  </si>
  <si>
    <t>9280005</t>
  </si>
  <si>
    <t>Reg Com Exp-FERC Trans Cases</t>
  </si>
  <si>
    <t>1650017</t>
  </si>
  <si>
    <t>Prepayment - Coal</t>
  </si>
  <si>
    <t>Prepaid Pension</t>
  </si>
  <si>
    <t>Capital Structure Equity Limit (Note Z)</t>
  </si>
  <si>
    <t>Cap Limit</t>
  </si>
  <si>
    <t>Capital Structure Percentages</t>
  </si>
  <si>
    <t>Z</t>
  </si>
  <si>
    <t xml:space="preserve">Per the settlement in EL17-13, equity is limited to 55% in of the Company's capital structure.  If the percentage of actual equity exceeds the cap, the excess is included as long term debt in the capital structure.  </t>
  </si>
  <si>
    <t xml:space="preserve"> GENERAL PLANT</t>
  </si>
  <si>
    <t>APPALACHAIN POWER COMPANY, INC.</t>
  </si>
  <si>
    <t>Worksheet B-3</t>
  </si>
  <si>
    <t>Excess/ Deficient ADIT Worksheet for Total Company and Functional Balances</t>
  </si>
  <si>
    <t>Debit/(Credit)</t>
  </si>
  <si>
    <t xml:space="preserve">I </t>
  </si>
  <si>
    <t xml:space="preserve">J </t>
  </si>
  <si>
    <t>TOTAL COMPANY BALANCES</t>
  </si>
  <si>
    <t>Balance Sheet Entries</t>
  </si>
  <si>
    <t>Tax Expense Entries</t>
  </si>
  <si>
    <t xml:space="preserve">Line No. </t>
  </si>
  <si>
    <t>Account (NOTE A)</t>
  </si>
  <si>
    <t>Description of Account</t>
  </si>
  <si>
    <t>Protected
Unprotected</t>
  </si>
  <si>
    <t>Tax Rate Change Act</t>
  </si>
  <si>
    <t>Excess Balance at Remeasurement (NOTE C)</t>
  </si>
  <si>
    <t>Amortization Methodology (NOTE D)</t>
  </si>
  <si>
    <t>Amotization Period</t>
  </si>
  <si>
    <t>Excess ADIT Regulatory  Offset</t>
  </si>
  <si>
    <t>Excess ADIT in Utility Deferrals</t>
  </si>
  <si>
    <t>Balance Sheet Account Reclassifications</t>
  </si>
  <si>
    <t xml:space="preserve">410/411
Excess Amortization </t>
  </si>
  <si>
    <t>410/411 Deferred Tax Expense/ (Benefit)</t>
  </si>
  <si>
    <t>Reference</t>
  </si>
  <si>
    <t>Sum of Cols (I) - (O)</t>
  </si>
  <si>
    <t>Deferred Tax Account (NOTE B)</t>
  </si>
  <si>
    <t>1a</t>
  </si>
  <si>
    <t xml:space="preserve">ADFIT - FAS 109 Excess </t>
  </si>
  <si>
    <t>N/A</t>
  </si>
  <si>
    <t>TCJA 2017</t>
  </si>
  <si>
    <t>1b</t>
  </si>
  <si>
    <t>ADFIT - Accel Amortization Property</t>
  </si>
  <si>
    <t>Protected</t>
  </si>
  <si>
    <t>ARAM</t>
  </si>
  <si>
    <t>Life of Asset</t>
  </si>
  <si>
    <t>1c</t>
  </si>
  <si>
    <t>ADFIT - Accel Amort FAS 109 Excess</t>
  </si>
  <si>
    <t>WS B - 1, Col B/C, ADIT Item 2.06</t>
  </si>
  <si>
    <t>1d</t>
  </si>
  <si>
    <t>ADFIT - Utility Property</t>
  </si>
  <si>
    <t>1e</t>
  </si>
  <si>
    <t>Unprotected</t>
  </si>
  <si>
    <t>10 Years</t>
  </si>
  <si>
    <t>1/2018 - 12/2027</t>
  </si>
  <si>
    <t>1f</t>
  </si>
  <si>
    <t>ADFIT - Utility Property FAS 109 Excess</t>
  </si>
  <si>
    <t>1g</t>
  </si>
  <si>
    <t>1h</t>
  </si>
  <si>
    <t>ADFIT - Other Utility Deferrals</t>
  </si>
  <si>
    <t>1i</t>
  </si>
  <si>
    <t>ADFIT - Other FAS 109 Excess</t>
  </si>
  <si>
    <t>1j</t>
  </si>
  <si>
    <t>NOTE E</t>
  </si>
  <si>
    <t>Regulatory Deferral Accounts</t>
  </si>
  <si>
    <t>2a</t>
  </si>
  <si>
    <t xml:space="preserve">Regulatory Asset  </t>
  </si>
  <si>
    <t xml:space="preserve"> Company Records</t>
  </si>
  <si>
    <t>2b</t>
  </si>
  <si>
    <t>Regulatory Liability</t>
  </si>
  <si>
    <t>FERC Form 1 p. 278 Ln. 3 Cols, (b) /(f)</t>
  </si>
  <si>
    <t>2c</t>
  </si>
  <si>
    <t>Total For Accounting Entires (Sum of Lines 1a through 2b)</t>
  </si>
  <si>
    <t>NOTE F</t>
  </si>
  <si>
    <t>TRANSMISSION FUNCTION BALANCES</t>
  </si>
  <si>
    <t>4a</t>
  </si>
  <si>
    <t>4b</t>
  </si>
  <si>
    <t>4c</t>
  </si>
  <si>
    <t>4d</t>
  </si>
  <si>
    <t>4e</t>
  </si>
  <si>
    <t>4f</t>
  </si>
  <si>
    <t>4g</t>
  </si>
  <si>
    <t>4h</t>
  </si>
  <si>
    <t>5c</t>
  </si>
  <si>
    <t>Total For Accounting Entires (Sum of Lines 4a through 5b)</t>
  </si>
  <si>
    <t>GENERAL NOTE:  ADIT Tax balances provided in the formula presented in Attachment H-14B are maintained on both a total company and transmission functional basis. Because both sets of numbers are presented in the formual, the information for excess and deficient ADIT is also presented for both total company and the transmission function on this worksheet.  Account 281 only applies to the generation function, so is not presented in the transmission functional summary.</t>
  </si>
  <si>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</si>
  <si>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balances or activity.  Accounts with the "1" designation will be included in the determination of ratebase to be recovered in the formula rate.   A "4"  in the fourth position of the account number indicates accounts used to track regulatory accounting requirements.  The excess ADIT amounts recorded in accounts with the  "4" designation will be contra to the "1" balance, which will ensure that in the formula rate the excess or deficiency amounts will be part of ratebase, but at the total FERC account level the tax liability or asset will be recorded at the current Federal FIT rate.   The amounts recored in the "4" accounts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</si>
  <si>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</si>
  <si>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</si>
  <si>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</si>
  <si>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t>The amounts of the remeasurement shown here are as of the effective date of the change in tax rates and will remain static on this workpaper.</t>
  </si>
  <si>
    <t>NOTE D:</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</si>
  <si>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</si>
  <si>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E:</t>
  </si>
  <si>
    <t xml:space="preserve"> In  the event of future tax rate changes, additional lines will be inserted in both the Total Company and Transmission Funcational sections above as required to reflect  any new ADIT or regulatory deferral accounts that may be necessary to track that tax rate change.</t>
  </si>
  <si>
    <t>NOTE F:</t>
  </si>
  <si>
    <t>The amount of excess amortization entries shown in lines 1a through 1j  and 4a through 4h are shown as a debit or credit to the ADIT account from which it is being amortized.  The total in line 3 and 6 is the offset recorded to the 410/411 account and will tie to the total company and transmission functional amounts of excess or deficient ADIT amortization shown on line 119 of the cost of service.</t>
  </si>
  <si>
    <t>Prepayed Taxes - Dist</t>
  </si>
  <si>
    <t>RTEP ID: b2423 Install a 300 MVAR shunt reactor at AEP's Wyoming 765 kV station.</t>
  </si>
  <si>
    <t>CR Audit</t>
  </si>
  <si>
    <t>Approved by FERC March 2, 1990 in Docket ER90-132</t>
  </si>
  <si>
    <t>Approved by FERC March 2, 1990 in Docket ER90-133</t>
  </si>
  <si>
    <t xml:space="preserve"> (2)  Approved by PSC of WV Order dated 2/27/2019 in</t>
  </si>
  <si>
    <t xml:space="preserve">        Case No. 18-0645-E-D effective 03/06/2019.</t>
  </si>
  <si>
    <t>Distribution Plant (recorded by state) is assigned only to</t>
  </si>
  <si>
    <t>jurisdictions within each state.</t>
  </si>
  <si>
    <t>MICHIGAN AND FERC</t>
  </si>
  <si>
    <t>$0 at Dec 2018 - use old rate</t>
  </si>
  <si>
    <t>Note 2:  Kingsport Power Company does not have investment in plant accounts 357 or 358.  Therefore, there are no depreciation rates approved for these plant accounts.</t>
  </si>
  <si>
    <t>EFFECTIVE AS OF 3/1/2019</t>
  </si>
  <si>
    <r>
      <t>190</t>
    </r>
    <r>
      <rPr>
        <sz val="9"/>
        <color rgb="FFFF0000"/>
        <rFont val="Arial"/>
        <family val="2"/>
      </rPr>
      <t>4</t>
    </r>
    <r>
      <rPr>
        <sz val="9"/>
        <rFont val="Arial"/>
        <family val="2"/>
      </rPr>
      <t>001</t>
    </r>
  </si>
  <si>
    <t>WS B - 2 Col B/C, ADIT item 2.91</t>
  </si>
  <si>
    <r>
      <t>281</t>
    </r>
    <r>
      <rPr>
        <sz val="9"/>
        <color rgb="FFFF0000"/>
        <rFont val="Arial"/>
        <family val="2"/>
      </rPr>
      <t>1</t>
    </r>
    <r>
      <rPr>
        <sz val="9"/>
        <rFont val="Arial"/>
        <family val="2"/>
      </rPr>
      <t>001</t>
    </r>
  </si>
  <si>
    <r>
      <t>281</t>
    </r>
    <r>
      <rPr>
        <sz val="9"/>
        <color rgb="FFFF0000"/>
        <rFont val="Arial"/>
        <family val="2"/>
      </rPr>
      <t>4</t>
    </r>
    <r>
      <rPr>
        <sz val="9"/>
        <rFont val="Arial"/>
        <family val="2"/>
      </rPr>
      <t>001</t>
    </r>
  </si>
  <si>
    <r>
      <t>282</t>
    </r>
    <r>
      <rPr>
        <sz val="9"/>
        <color rgb="FFFF0000"/>
        <rFont val="Arial"/>
        <family val="2"/>
      </rPr>
      <t>1</t>
    </r>
    <r>
      <rPr>
        <sz val="9"/>
        <rFont val="Arial"/>
        <family val="2"/>
      </rPr>
      <t>001</t>
    </r>
  </si>
  <si>
    <t>WS B - 1 Cols M+N+O , ADIT Item 5.47</t>
  </si>
  <si>
    <r>
      <t>282</t>
    </r>
    <r>
      <rPr>
        <sz val="9"/>
        <color rgb="FFFF0000"/>
        <rFont val="Arial"/>
        <family val="2"/>
      </rPr>
      <t>4</t>
    </r>
    <r>
      <rPr>
        <sz val="9"/>
        <rFont val="Arial"/>
        <family val="2"/>
      </rPr>
      <t>001</t>
    </r>
  </si>
  <si>
    <t>WS B - 1 Col B/C, ADIT Item 5.50</t>
  </si>
  <si>
    <r>
      <t>283</t>
    </r>
    <r>
      <rPr>
        <sz val="9"/>
        <color rgb="FFFF0000"/>
        <rFont val="Arial"/>
        <family val="2"/>
      </rPr>
      <t>1</t>
    </r>
    <r>
      <rPr>
        <sz val="9"/>
        <rFont val="Arial"/>
        <family val="2"/>
      </rPr>
      <t>001</t>
    </r>
  </si>
  <si>
    <t>WS B - 1 Col C, Items 10.04</t>
  </si>
  <si>
    <r>
      <t>283</t>
    </r>
    <r>
      <rPr>
        <sz val="9"/>
        <color rgb="FFFF0000"/>
        <rFont val="Arial"/>
        <family val="2"/>
      </rPr>
      <t>4</t>
    </r>
    <r>
      <rPr>
        <sz val="9"/>
        <rFont val="Arial"/>
        <family val="2"/>
      </rPr>
      <t>001</t>
    </r>
  </si>
  <si>
    <t>WS B - 1 Col C/D, Item 10.07</t>
  </si>
  <si>
    <t>WS B-1, Col N, ADIT 5.47</t>
  </si>
  <si>
    <t>WS B-1,  Col N, item 10.04</t>
  </si>
  <si>
    <t>53c</t>
  </si>
  <si>
    <t>For Year Ended December 31, 2024</t>
  </si>
  <si>
    <t>1/1/2024 Beginning  Balances</t>
  </si>
  <si>
    <t>12/31/2024 Ending Balance</t>
  </si>
  <si>
    <t>State Publ Serv CommissionFees</t>
  </si>
  <si>
    <t>9301008</t>
  </si>
  <si>
    <t>Direct Mail and Handouts</t>
  </si>
  <si>
    <t>Assoc Bus Dev - Materials Sold</t>
  </si>
  <si>
    <t>AEP EAST OPERATING COMPANIES</t>
  </si>
  <si>
    <t>Docket ER20-1886-000</t>
  </si>
  <si>
    <t>APPALACHIAN POWER COMPANY</t>
  </si>
  <si>
    <t>Compliance Filing</t>
  </si>
  <si>
    <t>ATTACHMENT H-14B</t>
  </si>
  <si>
    <t>Attachment 4</t>
  </si>
  <si>
    <t>WORKSHEET-B-3-A</t>
  </si>
  <si>
    <t>Page 1 of 6</t>
  </si>
  <si>
    <t>TAX REMEASUREMENT WORKSHEET</t>
  </si>
  <si>
    <t>TAX CUT and JOBS ACT of  2017</t>
  </si>
  <si>
    <t>F=E/C</t>
  </si>
  <si>
    <t>H = E +G</t>
  </si>
  <si>
    <t>J = C - H</t>
  </si>
  <si>
    <t>Line No.</t>
  </si>
  <si>
    <t xml:space="preserve">Utility Account </t>
  </si>
  <si>
    <t>12/31/17 Pre-remeasurement Balance</t>
  </si>
  <si>
    <t>Remeasurement Amount (NOTE 1)</t>
  </si>
  <si>
    <t>Remeasurement Percentage (NOTE 2)</t>
  </si>
  <si>
    <t>Adjustments (NOTE 3)</t>
  </si>
  <si>
    <t>Total Excess/Deficiency by Account (NOTE 4)</t>
  </si>
  <si>
    <t>Protected / Unprotected</t>
  </si>
  <si>
    <t>ADIT Deferral After Remesasurement</t>
  </si>
  <si>
    <t>TOTAL COMPANY</t>
  </si>
  <si>
    <t>190 - Utility</t>
  </si>
  <si>
    <t>2018 FF1 P. 234 Col (b) Line 8</t>
  </si>
  <si>
    <t>Less: Deferred State Taxes</t>
  </si>
  <si>
    <t>1901001</t>
  </si>
  <si>
    <t>2811001</t>
  </si>
  <si>
    <t>2018 FF1 P. 272 Col (b) Line 8</t>
  </si>
  <si>
    <t>2821001</t>
  </si>
  <si>
    <t>2018 FF1 P. 274 Col (b) Line 5</t>
  </si>
  <si>
    <t xml:space="preserve">Protected </t>
  </si>
  <si>
    <t xml:space="preserve">Unprotected </t>
  </si>
  <si>
    <t>283 - Utility</t>
  </si>
  <si>
    <t>2018 FF1 P. 276 Col (b) Line 9</t>
  </si>
  <si>
    <t>Less: Accrued Deferred State Tax</t>
  </si>
  <si>
    <t>2831001</t>
  </si>
  <si>
    <t>(Sum of Lns. 3+4+5+8)</t>
  </si>
  <si>
    <t>TRANSMISSION FUNCTION</t>
  </si>
  <si>
    <t>(Sum of Lns. 10+11+12)</t>
  </si>
  <si>
    <t xml:space="preserve">GENERAL NOTE:  This worksheet will summarize remeasurement adjustments in ADIT Accounts for both the total company and transmission function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</si>
  <si>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NOTE 1:</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</si>
  <si>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</si>
  <si>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</si>
  <si>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</si>
  <si>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</si>
  <si>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</si>
  <si>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</si>
  <si>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each Operating Companies' Workpaper B-3, Column F, showing the intial remeasurement value determined as a result of the Tax Cut and Jobs Act of 2017.</t>
  </si>
  <si>
    <t>WORKSHEET-B-3- B</t>
  </si>
  <si>
    <t xml:space="preserve">WV House Bill 2026 - Revision of the WV Tax Apportionment Methodolgy from three Factor to One Factor </t>
  </si>
  <si>
    <t>2021 Pre-remeasurement Balance</t>
  </si>
  <si>
    <t>190/282/283</t>
  </si>
  <si>
    <t>Total Fed Cumulative ADIT</t>
  </si>
  <si>
    <t>New Apportionment Factor</t>
  </si>
  <si>
    <t>WV State Tax Rate</t>
  </si>
  <si>
    <t>WV SDIT Single Factor Apportionment (NEW)</t>
  </si>
  <si>
    <t>Prior Apportionment Factor</t>
  </si>
  <si>
    <t>WV SDIT  Three Factor Apportionment Method (PRIOR)</t>
  </si>
  <si>
    <t>Change in Methods (Ln 4 -  Ln 9)</t>
  </si>
  <si>
    <t>Federal Offset (@ 21%)</t>
  </si>
  <si>
    <t>Ln 9</t>
  </si>
  <si>
    <t>Change in Methods (Ln 19 -  Ln 24)</t>
  </si>
  <si>
    <t>Ln 24</t>
  </si>
  <si>
    <t xml:space="preserve">Remeasurement calculation may not equal 0% of the December 31, 2021  deferral balance because of specific ADIT items that are not subject to remeasurement. </t>
  </si>
  <si>
    <t>Not Applicable</t>
  </si>
  <si>
    <t>Ties to each Operating Companies' Workpaper B-3, Column F, showing the intial remeasurement value determined as a result of the WV HB 2026</t>
  </si>
  <si>
    <t>State Income Tax Rate - North Carolina</t>
  </si>
  <si>
    <t xml:space="preserve">State Income Tax Rate - Kentucky </t>
  </si>
  <si>
    <t>State Income Tax Rate - Illinois</t>
  </si>
  <si>
    <t>State Income Tax Rate - Michigan</t>
  </si>
  <si>
    <t>State Income Tax Rate - West Virginia</t>
  </si>
  <si>
    <t>State Income Tax Rate - Tennessee</t>
  </si>
  <si>
    <t>State Income Tax Rate - Virginia</t>
  </si>
  <si>
    <t>165000220</t>
  </si>
  <si>
    <t>165000221</t>
  </si>
  <si>
    <t>165000222</t>
  </si>
  <si>
    <t>LT Coal Prepayment</t>
  </si>
  <si>
    <t>Coal Prepayment</t>
  </si>
  <si>
    <t>1650041</t>
  </si>
  <si>
    <t>Prepaid Regulatory Fees</t>
  </si>
  <si>
    <t>Reg Fees related to Dist.</t>
  </si>
  <si>
    <t>1650044</t>
  </si>
  <si>
    <t>Prepayment-Deferred Coal</t>
  </si>
  <si>
    <t>Prepaid Deferred Coal</t>
  </si>
  <si>
    <t>Apportionment Factor - Note 1</t>
  </si>
  <si>
    <t>EFFECTIVE AS OF 1/1/2024</t>
  </si>
  <si>
    <t xml:space="preserve"> TRANSMISSION PLANT (6)</t>
  </si>
  <si>
    <t>VA</t>
  </si>
  <si>
    <t xml:space="preserve">  (1) As stated in the order in VA Case No. in Case No. PUR-2020-00015, depreciation rates should be implemented at the time depreciation study is preformed.  This is a preliminary update to the Clinch River depreciation rates until an order is issued approving depreciation rates in 2022-2023 VA Biennial Review.</t>
  </si>
  <si>
    <t xml:space="preserve">Transmission allocation factors are changed annually in January based on </t>
  </si>
  <si>
    <t>September factors as per the PJM tariff approved in FERC Docket ER08-1329</t>
  </si>
  <si>
    <t xml:space="preserve">        Depreciation rates were made effective January 1, 2024.</t>
  </si>
  <si>
    <t xml:space="preserve">(7)  </t>
  </si>
  <si>
    <t>Initial depreciation rates for the jurisdictional shares of CCR/ELG investment at Amos and Mountaineer approved in VA Case No. PUR-2020-00015 and WV Case No. 20-1040-E-CN.</t>
  </si>
  <si>
    <t>EFFECTIVE AS OF JULY 15, 2024</t>
  </si>
  <si>
    <t xml:space="preserve">  (1) As approved by the IURC from settlement in Cause No. 45933 dated May 8, 2024 and effective on May 23, 2024.  </t>
  </si>
  <si>
    <t xml:space="preserve">  (2) As approved as part of a settlement in Michigan Case No. U-21412, order dated October 12, 2023.  New rates became effective upon an order recieved in Case No. U-21461, dated July 2, 2024 (rates effective July 15, 2024).  FERC wholesale formula rate agreements specify that FERC depreciation rates change upon approval of MPSC rates in the Michigan jurisdiction. </t>
  </si>
  <si>
    <t xml:space="preserve">  (3) I&amp;M's Storage Battery Equipment is located in Indiana in East Busco Substation.  The battery was placed in-service in January 2009.  Since the battery is Distribution property located in Indiana, there is only an Indiana depreciation rate associated with this equipment.  Therefore the same Indiana rate was used for Michigan and FERC so that the weighted average rate would equal the Indiana rate.</t>
  </si>
  <si>
    <t xml:space="preserve">  (4) In its order in Indiana Cause No. 43231 dated June 13, 2007, I&amp;M was required to design and administer a Smart Metering Pilot Program including approximately 10,000 meters.  Company personnel reviewed the expected life span for these new meters and determined that due to changes in technology and obsolesence the new equipment should have a life of approximately 10 years. </t>
  </si>
  <si>
    <t xml:space="preserve">  (5) Distribution Plant (recorded by state) is assigned only to jurisdictions within each state.</t>
  </si>
  <si>
    <t>EFFECTIVE AS OF 08/01/2022</t>
  </si>
  <si>
    <t>Note 1:   Rates Approved In Tennessee Regulatory Authority Docket No. 21-00107</t>
  </si>
  <si>
    <t xml:space="preserve">  Land and Land Rights</t>
  </si>
  <si>
    <t xml:space="preserve">  Structures and Improvements</t>
  </si>
  <si>
    <t xml:space="preserve">  Office Furniture and Equip.</t>
  </si>
  <si>
    <t xml:space="preserve">  Transportation Equipment</t>
  </si>
  <si>
    <t xml:space="preserve">  Stores Equipment</t>
  </si>
  <si>
    <t xml:space="preserve">  Tools, Shop and Garage  Equipment</t>
  </si>
  <si>
    <t xml:space="preserve">  Power Operated Equipment</t>
  </si>
  <si>
    <t xml:space="preserve">  Communications Equipment</t>
  </si>
  <si>
    <t xml:space="preserve">  Micellaneous Equipment</t>
  </si>
  <si>
    <t>EFFECTIVE AS OF 1/1/2012</t>
  </si>
  <si>
    <t>GENERAL PLANT (NOTE 2)</t>
  </si>
  <si>
    <t xml:space="preserve">  AMI - Communications Equipment</t>
  </si>
  <si>
    <t xml:space="preserve">Note 2: General Plant depreciation rates were updated as a result of the order issued in Cases No 16-1852-EL-SSO and 16-1853-EL-SSO. </t>
  </si>
  <si>
    <t>2024 Forecasted Revenue Requirement For Year 2024</t>
  </si>
  <si>
    <t>2024 Collections</t>
  </si>
  <si>
    <t>An over or under collection will be recovered prorata over 2024, held for 2025 and returned prorate over 2026</t>
  </si>
  <si>
    <t>`</t>
  </si>
  <si>
    <t>RTEP ID: b3800.1 Establish a new 500 kV breaker position for the low-side of the existing 765/500 kV transformer at Cloverdale Station</t>
  </si>
  <si>
    <t>RTEP ID: b3847.2 Add two 765 kV breakers to the reactors at Broadford station on the Baker and Jacksons Ferry 765 kV lines.</t>
  </si>
  <si>
    <t>Senior Unsecured Notes - Series I</t>
  </si>
  <si>
    <t>Senior Unsecured Notes - Series K</t>
  </si>
  <si>
    <t>Senior Unsecured Notes - Series L</t>
  </si>
  <si>
    <t>Senior Unsecured Notes - Series H</t>
  </si>
  <si>
    <t>Senior Unsecured Notes - Series N</t>
  </si>
  <si>
    <t>Senior Unsecured Notes - Series Q</t>
  </si>
  <si>
    <t>Senior Unsecured Notes - Series S</t>
  </si>
  <si>
    <t>Senior Unsecured Notes - Series T</t>
  </si>
  <si>
    <t>Senior Unsecured Notes - Series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</si>
</sst>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0.0000%"/>
    <numFmt numFmtId="176" formatCode="_(* #,##0.0_);_(* \(#,##0.0\);_(* &quot;-&quot;??_);_(@_)"/>
    <numFmt numFmtId="177" formatCode="0.000000"/>
    <numFmt numFmtId="178" formatCode="_(* #,##0.0000_);_(* \(#,##0.0000\);_(* &quot;-&quot;_);_(@_)"/>
    <numFmt numFmtId="179" formatCode="_(* #,##0.00000_);_(* \(#,##0.00000\);_(* &quot;-&quot;_);_(@_)"/>
    <numFmt numFmtId="180" formatCode="_(* #,##0.00000_);_(* \(#,##0.00000\);_(* &quot;-&quot;??_);_(@_)"/>
    <numFmt numFmtId="181" formatCode="#,##0.0000000"/>
    <numFmt numFmtId="182" formatCode="_(* #,##0.0000000_);_(* \(#,##0.0000000\);_(* &quot;-&quot;_);_(@_)"/>
    <numFmt numFmtId="183" formatCode="#,##0\ ;\(#,##0\)"/>
    <numFmt numFmtId="184" formatCode="_(* #,##0.0000_);_(* \(#,##0.0000\);_(* &quot;-&quot;??_);_(@_)"/>
    <numFmt numFmtId="185" formatCode="_(* #,##0.000_);_(* \(#,##0.000\);_(* &quot;-&quot;_);_(@_)"/>
    <numFmt numFmtId="186" formatCode="#,##0.000000"/>
    <numFmt numFmtId="187" formatCode="mmmm\ d\,\ yyyy"/>
    <numFmt numFmtId="188" formatCode="m/d/yy;@"/>
    <numFmt numFmtId="189" formatCode="0.000"/>
    <numFmt numFmtId="190" formatCode="0.000000_)"/>
    <numFmt numFmtId="191" formatCode="#,##0.000000_);\(#,##0.000000\)"/>
    <numFmt numFmtId="192" formatCode="0_);\(0\)"/>
    <numFmt numFmtId="193" formatCode="0.0"/>
    <numFmt numFmtId="194" formatCode="&quot;$&quot;#,##0.0000"/>
    <numFmt numFmtId="195" formatCode="[$-409]mmm\-yy;@"/>
    <numFmt numFmtId="196" formatCode="#,##0_);[Red]\(#,##0\);&quot; &quot;"/>
    <numFmt numFmtId="197" formatCode="_(* #,##0.00_);_(* \(#,##0.00\);_(* &quot;-&quot;_);_(@_)"/>
    <numFmt numFmtId="198" formatCode="_(* #,##0.000_);_(* \(#,##0.000\);_(* &quot;-&quot;??_);_(@_)"/>
    <numFmt numFmtId="199" formatCode="0.000000%"/>
    <numFmt numFmtId="200" formatCode="0.0000000"/>
  </numFmts>
  <fonts count="173">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9"/>
      <name val="Helv"/>
    </font>
    <font>
      <u val="singleAccounting"/>
      <sz val="10"/>
      <name val="Arial"/>
      <family val="2"/>
    </font>
    <font>
      <sz val="14"/>
      <color indexed="23"/>
      <name val="Helv"/>
    </font>
    <font>
      <strike/>
      <sz val="12"/>
      <color indexed="10"/>
      <name val="Arial"/>
      <family val="2"/>
    </font>
    <font>
      <sz val="12"/>
      <color indexed="10"/>
      <name val="Arial MT"/>
    </font>
    <font>
      <b/>
      <strike/>
      <u/>
      <sz val="10"/>
      <color indexed="10"/>
      <name val="Arial"/>
      <family val="2"/>
    </font>
    <font>
      <strike/>
      <u/>
      <sz val="10"/>
      <color indexed="10"/>
      <name val="Arial"/>
      <family val="2"/>
    </font>
    <font>
      <sz val="8"/>
      <name val="Arial"/>
      <family val="2"/>
    </font>
    <font>
      <b/>
      <i/>
      <u/>
      <sz val="10"/>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3"/>
      <name val="Times New Roman"/>
      <family val="1"/>
    </font>
    <font>
      <sz val="10"/>
      <name val="Arial"/>
      <family val="2"/>
    </font>
    <font>
      <sz val="10"/>
      <name val="Arial MT"/>
    </font>
    <font>
      <u/>
      <sz val="11"/>
      <name val="Arial"/>
      <family val="2"/>
    </font>
    <font>
      <sz val="12"/>
      <name val="Arial Black"/>
      <family val="2"/>
    </font>
    <font>
      <sz val="10"/>
      <color indexed="12"/>
      <name val="Courier"/>
      <family val="3"/>
    </font>
    <font>
      <i/>
      <sz val="12"/>
      <name val="Arial Condensed Bold"/>
    </font>
    <font>
      <i/>
      <sz val="12"/>
      <color indexed="12"/>
      <name val="Arial Condensed Bold"/>
    </font>
    <font>
      <b/>
      <i/>
      <sz val="12"/>
      <color indexed="12"/>
      <name val="Arial MT"/>
    </font>
    <font>
      <b/>
      <i/>
      <sz val="12"/>
      <name val="Arial MT"/>
    </font>
    <font>
      <b/>
      <sz val="10"/>
      <color indexed="17"/>
      <name val="Courier"/>
      <family val="3"/>
    </font>
    <font>
      <b/>
      <sz val="12"/>
      <color indexed="17"/>
      <name val="Arial MT"/>
    </font>
    <font>
      <b/>
      <u/>
      <sz val="12"/>
      <name val="Arial MT"/>
    </font>
    <font>
      <sz val="12"/>
      <name val="Arial"/>
      <family val="2"/>
    </font>
    <font>
      <sz val="16"/>
      <name val="Arial"/>
      <family val="2"/>
    </font>
    <font>
      <sz val="12"/>
      <name val="Arial"/>
      <family val="2"/>
    </font>
    <font>
      <sz val="10"/>
      <name val="Arial"/>
      <family val="2"/>
    </font>
    <font>
      <sz val="12"/>
      <name val="Arial Narrow"/>
      <family val="2"/>
    </font>
    <font>
      <b/>
      <sz val="12"/>
      <name val="Arial Narrow"/>
      <family val="2"/>
    </font>
    <font>
      <b/>
      <u/>
      <sz val="12"/>
      <name val="Arial Narrow"/>
      <family val="2"/>
    </font>
    <font>
      <sz val="10"/>
      <color indexed="9"/>
      <name val="Arial"/>
      <family val="2"/>
    </font>
    <font>
      <sz val="11"/>
      <color indexed="12"/>
      <name val="Arial"/>
      <family val="2"/>
    </font>
    <font>
      <sz val="10"/>
      <name val="Arial"/>
      <family val="2"/>
    </font>
    <font>
      <sz val="10"/>
      <name val="Arial"/>
      <family val="2"/>
    </font>
    <font>
      <sz val="10"/>
      <name val="Arial"/>
      <family val="2"/>
    </font>
    <font>
      <b/>
      <i/>
      <sz val="12"/>
      <name val="Times New Roman"/>
      <family val="1"/>
    </font>
    <font>
      <sz val="10"/>
      <color indexed="40"/>
      <name val="Arial"/>
      <family val="2"/>
    </font>
    <font>
      <sz val="10"/>
      <color indexed="40"/>
      <name val="Times New Roman"/>
      <family val="1"/>
    </font>
    <font>
      <sz val="10"/>
      <name val="Arial"/>
      <family val="2"/>
    </font>
    <font>
      <strike/>
      <sz val="10"/>
      <name val="Cambria"/>
      <family val="1"/>
    </font>
    <font>
      <b/>
      <strike/>
      <sz val="12"/>
      <color indexed="10"/>
      <name val="Arial"/>
      <family val="2"/>
    </font>
    <font>
      <sz val="10"/>
      <name val="Arial"/>
      <family val="2"/>
    </font>
    <font>
      <sz val="14"/>
      <name val="Cambria"/>
      <family val="1"/>
    </font>
    <font>
      <b/>
      <u/>
      <sz val="14"/>
      <name val="Cambria"/>
      <family val="1"/>
    </font>
    <font>
      <sz val="12"/>
      <name val="Cambria"/>
      <family val="1"/>
    </font>
    <font>
      <b/>
      <sz val="12"/>
      <name val="Arial Black"/>
      <family val="2"/>
    </font>
    <font>
      <b/>
      <sz val="12"/>
      <name val="Arial Condensed Bold"/>
    </font>
    <font>
      <sz val="10"/>
      <name val="Arial"/>
      <family val="2"/>
    </font>
    <font>
      <b/>
      <i/>
      <sz val="12"/>
      <name val="Cambria"/>
      <family val="1"/>
    </font>
    <font>
      <sz val="10"/>
      <name val="Cambria"/>
      <family val="1"/>
    </font>
    <font>
      <sz val="12"/>
      <color indexed="10"/>
      <name val="Cambria"/>
      <family val="1"/>
    </font>
    <font>
      <b/>
      <sz val="10"/>
      <name val="Cambria"/>
      <family val="1"/>
    </font>
    <font>
      <sz val="10"/>
      <color indexed="10"/>
      <name val="Cambria"/>
      <family val="1"/>
    </font>
    <font>
      <u/>
      <sz val="10"/>
      <name val="Cambria"/>
      <family val="1"/>
    </font>
    <font>
      <u/>
      <sz val="10"/>
      <color indexed="10"/>
      <name val="Cambria"/>
      <family val="1"/>
    </font>
    <font>
      <u/>
      <sz val="10"/>
      <color indexed="8"/>
      <name val="Cambria"/>
      <family val="1"/>
    </font>
    <font>
      <sz val="10"/>
      <color indexed="12"/>
      <name val="Cambria"/>
      <family val="1"/>
    </font>
    <font>
      <b/>
      <u/>
      <sz val="10"/>
      <name val="Cambria"/>
      <family val="1"/>
    </font>
    <font>
      <sz val="10"/>
      <name val="Arial"/>
      <family val="2"/>
    </font>
    <font>
      <b/>
      <u/>
      <sz val="11"/>
      <name val="Arial"/>
      <family val="2"/>
    </font>
    <font>
      <sz val="10"/>
      <name val="Arial"/>
      <family val="2"/>
    </font>
    <font>
      <sz val="12"/>
      <name val="Arial MT"/>
      <family val="2"/>
    </font>
    <font>
      <sz val="9"/>
      <name val="Arial MT"/>
      <family val="2"/>
    </font>
    <font>
      <i/>
      <sz val="9"/>
      <name val="Arial"/>
      <family val="2"/>
    </font>
    <font>
      <sz val="10"/>
      <color indexed="12"/>
      <name val="Calibri"/>
      <family val="2"/>
    </font>
    <font>
      <sz val="11"/>
      <color theme="1"/>
      <name val="Calibri"/>
      <family val="2"/>
      <scheme val="minor"/>
    </font>
    <font>
      <sz val="11"/>
      <color theme="1"/>
      <name val="Calibri"/>
      <family val="2"/>
    </font>
    <font>
      <sz val="10"/>
      <color rgb="FF0000FF"/>
      <name val="Arial"/>
      <family val="2"/>
    </font>
    <font>
      <sz val="8"/>
      <color theme="1"/>
      <name val="Calibri"/>
      <family val="2"/>
      <scheme val="minor"/>
    </font>
    <font>
      <sz val="10"/>
      <color rgb="FFFF0000"/>
      <name val="Arial"/>
      <family val="2"/>
    </font>
    <font>
      <strike/>
      <sz val="12"/>
      <color rgb="FFFF0000"/>
      <name val="Cambria"/>
      <family val="1"/>
    </font>
    <font>
      <sz val="12"/>
      <color rgb="FFFF0000"/>
      <name val="Arial"/>
      <family val="2"/>
    </font>
    <font>
      <b/>
      <sz val="10"/>
      <color rgb="FFFF0000"/>
      <name val="Arial"/>
      <family val="2"/>
    </font>
    <font>
      <sz val="14"/>
      <color rgb="FFFF0000"/>
      <name val="Arial"/>
      <family val="2"/>
    </font>
    <font>
      <strike/>
      <sz val="14"/>
      <color rgb="FFFF0000"/>
      <name val="Cambria"/>
      <family val="1"/>
    </font>
    <font>
      <b/>
      <sz val="14"/>
      <color rgb="FFFF0000"/>
      <name val="Arial"/>
      <family val="2"/>
    </font>
    <font>
      <i/>
      <sz val="12"/>
      <name val="Arial MT"/>
    </font>
    <font>
      <sz val="9"/>
      <color rgb="FFFF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7"/>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
      <patternFill patternType="solid">
        <fgColor theme="0" tint="-0.24991607409894101"/>
        <bgColor indexed="64"/>
      </patternFill>
    </fill>
    <fill>
      <patternFill patternType="darkUp">
        <bgColor theme="0" tint="-0.14990691854609822"/>
      </patternFill>
    </fill>
  </fills>
  <borders count="59">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top style="medium">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medium">
        <color indexed="8"/>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double">
        <color auto="1"/>
      </bottom>
      <diagonal/>
    </border>
    <border>
      <left/>
      <right/>
      <top style="double">
        <color auto="1"/>
      </top>
      <bottom/>
      <diagonal/>
    </border>
    <border>
      <left/>
      <right/>
      <top style="thin">
        <color indexed="64"/>
      </top>
      <bottom/>
      <diagonal/>
    </border>
    <border>
      <left/>
      <right style="thin">
        <color indexed="64"/>
      </right>
      <top style="thin">
        <color indexed="64"/>
      </top>
      <bottom/>
      <diagonal/>
    </border>
  </borders>
  <cellStyleXfs count="386">
    <xf numFmtId="0" fontId="0" fillId="0" borderId="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3" fontId="155" fillId="0" borderId="0" applyFont="0" applyFill="0" applyBorder="0" applyAlignment="0" applyProtection="0"/>
    <xf numFmtId="43" fontId="156" fillId="0" borderId="0" applyFont="0" applyFill="0" applyBorder="0" applyAlignment="0" applyProtection="0"/>
    <xf numFmtId="43" fontId="16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55"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33" fillId="0" borderId="0" applyFont="0" applyFill="0" applyBorder="0" applyAlignment="0" applyProtection="0"/>
    <xf numFmtId="43" fontId="12" fillId="0" borderId="0" applyFont="0" applyFill="0" applyBorder="0" applyAlignment="0" applyProtection="0"/>
    <xf numFmtId="43" fontId="13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3" fillId="0" borderId="0" applyFont="0" applyFill="0" applyBorder="0" applyAlignment="0" applyProtection="0"/>
    <xf numFmtId="43" fontId="12" fillId="0" borderId="0" applyFont="0" applyFill="0" applyBorder="0" applyAlignment="0" applyProtection="0"/>
    <xf numFmtId="43" fontId="160" fillId="0" borderId="0" applyFont="0" applyFill="0" applyBorder="0" applyAlignment="0" applyProtection="0"/>
    <xf numFmtId="43" fontId="12" fillId="0" borderId="0" applyFont="0" applyFill="0" applyBorder="0" applyAlignment="0" applyProtection="0"/>
    <xf numFmtId="43" fontId="133" fillId="0" borderId="0" applyFont="0" applyFill="0" applyBorder="0" applyAlignment="0" applyProtection="0"/>
    <xf numFmtId="43" fontId="12" fillId="0" borderId="0" applyFont="0" applyFill="0" applyBorder="0" applyAlignment="0" applyProtection="0"/>
    <xf numFmtId="43" fontId="160" fillId="0" borderId="0" applyFont="0" applyFill="0" applyBorder="0" applyAlignment="0" applyProtection="0"/>
    <xf numFmtId="43" fontId="12" fillId="0" borderId="0" applyFont="0" applyFill="0" applyBorder="0" applyAlignment="0" applyProtection="0"/>
    <xf numFmtId="43" fontId="160" fillId="0" borderId="0" applyFont="0" applyFill="0" applyBorder="0" applyAlignment="0" applyProtection="0"/>
    <xf numFmtId="43" fontId="14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53" fillId="0" borderId="0" applyFont="0" applyFill="0" applyBorder="0" applyAlignment="0" applyProtection="0"/>
    <xf numFmtId="43" fontId="12" fillId="0" borderId="0" applyFont="0" applyFill="0" applyBorder="0" applyAlignment="0" applyProtection="0"/>
    <xf numFmtId="43" fontId="160" fillId="0" borderId="0" applyFont="0" applyFill="0" applyBorder="0" applyAlignment="0" applyProtection="0"/>
    <xf numFmtId="43" fontId="2" fillId="0" borderId="0" applyFont="0" applyFill="0" applyBorder="0" applyAlignment="0" applyProtection="0"/>
    <xf numFmtId="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33"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53" fillId="0" borderId="0" applyFont="0" applyFill="0" applyBorder="0" applyAlignment="0" applyProtection="0"/>
    <xf numFmtId="44" fontId="12" fillId="0" borderId="0" applyFont="0" applyFill="0" applyBorder="0" applyAlignment="0" applyProtection="0"/>
    <xf numFmtId="44" fontId="155" fillId="0" borderId="0" applyFont="0" applyFill="0" applyBorder="0" applyAlignment="0" applyProtection="0"/>
    <xf numFmtId="44" fontId="160" fillId="0" borderId="0" applyFont="0" applyFill="0" applyBorder="0" applyAlignment="0" applyProtection="0"/>
    <xf numFmtId="44" fontId="12" fillId="0" borderId="0" applyFont="0" applyFill="0" applyBorder="0" applyAlignment="0" applyProtection="0"/>
    <xf numFmtId="44" fontId="133" fillId="0" borderId="0" applyFont="0" applyFill="0" applyBorder="0" applyAlignment="0" applyProtection="0"/>
    <xf numFmtId="44" fontId="12" fillId="0" borderId="0" applyFont="0" applyFill="0" applyBorder="0" applyAlignment="0" applyProtection="0"/>
    <xf numFmtId="44" fontId="160" fillId="0" borderId="0" applyFont="0" applyFill="0" applyBorder="0" applyAlignment="0" applyProtection="0"/>
    <xf numFmtId="44" fontId="12" fillId="0" borderId="0" applyFont="0" applyFill="0" applyBorder="0" applyAlignment="0" applyProtection="0"/>
    <xf numFmtId="44" fontId="153" fillId="0" borderId="0" applyFont="0" applyFill="0" applyBorder="0" applyAlignment="0" applyProtection="0"/>
    <xf numFmtId="44" fontId="12" fillId="0" borderId="0" applyFont="0" applyFill="0" applyBorder="0" applyAlignment="0" applyProtection="0"/>
    <xf numFmtId="44" fontId="155"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3" fontId="128" fillId="0" borderId="0"/>
    <xf numFmtId="3" fontId="12" fillId="0" borderId="0"/>
    <xf numFmtId="3" fontId="12" fillId="0" borderId="0"/>
    <xf numFmtId="3" fontId="128" fillId="0" borderId="0"/>
    <xf numFmtId="0" fontId="12" fillId="0" borderId="0"/>
    <xf numFmtId="3" fontId="12" fillId="0" borderId="0"/>
    <xf numFmtId="3" fontId="128" fillId="0" borderId="0"/>
    <xf numFmtId="3" fontId="12" fillId="0" borderId="0"/>
    <xf numFmtId="0" fontId="160" fillId="0" borderId="0"/>
    <xf numFmtId="3" fontId="128" fillId="0" borderId="0"/>
    <xf numFmtId="3" fontId="12" fillId="0" borderId="0"/>
    <xf numFmtId="3" fontId="128" fillId="0" borderId="0"/>
    <xf numFmtId="3" fontId="12" fillId="0" borderId="0"/>
    <xf numFmtId="0" fontId="12" fillId="0" borderId="0"/>
    <xf numFmtId="3" fontId="128" fillId="0" borderId="0"/>
    <xf numFmtId="3" fontId="12" fillId="0" borderId="0"/>
    <xf numFmtId="3" fontId="128" fillId="0" borderId="0"/>
    <xf numFmtId="3" fontId="12" fillId="0" borderId="0"/>
    <xf numFmtId="3" fontId="128" fillId="0" borderId="0"/>
    <xf numFmtId="3" fontId="12" fillId="0" borderId="0"/>
    <xf numFmtId="3" fontId="129" fillId="0" borderId="0"/>
    <xf numFmtId="3" fontId="12" fillId="0" borderId="0"/>
    <xf numFmtId="0" fontId="12" fillId="0" borderId="0"/>
    <xf numFmtId="0" fontId="127" fillId="0" borderId="0"/>
    <xf numFmtId="0" fontId="161" fillId="0" borderId="0"/>
    <xf numFmtId="0" fontId="12" fillId="0" borderId="0"/>
    <xf numFmtId="0" fontId="12" fillId="0" borderId="0"/>
    <xf numFmtId="0" fontId="161" fillId="0" borderId="0"/>
    <xf numFmtId="0" fontId="12" fillId="0" borderId="0"/>
    <xf numFmtId="0" fontId="12" fillId="0" borderId="0"/>
    <xf numFmtId="3" fontId="129" fillId="0" borderId="0"/>
    <xf numFmtId="3" fontId="12" fillId="0" borderId="0"/>
    <xf numFmtId="3" fontId="129" fillId="0" borderId="0"/>
    <xf numFmtId="3" fontId="12" fillId="0" borderId="0"/>
    <xf numFmtId="3" fontId="129" fillId="0" borderId="0"/>
    <xf numFmtId="3" fontId="12" fillId="0" borderId="0"/>
    <xf numFmtId="3" fontId="129" fillId="0" borderId="0"/>
    <xf numFmtId="3" fontId="12" fillId="0" borderId="0"/>
    <xf numFmtId="3" fontId="129" fillId="0" borderId="0"/>
    <xf numFmtId="3" fontId="12" fillId="0" borderId="0"/>
    <xf numFmtId="3" fontId="129" fillId="0" borderId="0"/>
    <xf numFmtId="3" fontId="12" fillId="0" borderId="0"/>
    <xf numFmtId="3" fontId="129" fillId="0" borderId="0"/>
    <xf numFmtId="3" fontId="12" fillId="0" borderId="0"/>
    <xf numFmtId="3" fontId="12" fillId="0" borderId="0"/>
    <xf numFmtId="3" fontId="136" fillId="0" borderId="0"/>
    <xf numFmtId="3" fontId="12" fillId="0" borderId="0"/>
    <xf numFmtId="3" fontId="136" fillId="0" borderId="0"/>
    <xf numFmtId="3" fontId="12" fillId="0" borderId="0"/>
    <xf numFmtId="0" fontId="12" fillId="0" borderId="0"/>
    <xf numFmtId="0" fontId="12" fillId="0" borderId="0"/>
    <xf numFmtId="3" fontId="12" fillId="0" borderId="0"/>
    <xf numFmtId="0" fontId="12" fillId="0" borderId="0"/>
    <xf numFmtId="0" fontId="12" fillId="0" borderId="0"/>
    <xf numFmtId="0" fontId="160" fillId="0" borderId="0"/>
    <xf numFmtId="172" fontId="156" fillId="0" borderId="0" applyProtection="0"/>
    <xf numFmtId="0" fontId="2" fillId="0" borderId="0"/>
    <xf numFmtId="0" fontId="155" fillId="0" borderId="0"/>
    <xf numFmtId="0" fontId="12" fillId="0" borderId="0"/>
    <xf numFmtId="0" fontId="128" fillId="0" borderId="0"/>
    <xf numFmtId="0" fontId="12" fillId="0" borderId="0"/>
    <xf numFmtId="0" fontId="12" fillId="0" borderId="0"/>
    <xf numFmtId="0" fontId="129" fillId="0" borderId="0"/>
    <xf numFmtId="0" fontId="12" fillId="0" borderId="0"/>
    <xf numFmtId="0" fontId="12" fillId="0" borderId="0"/>
    <xf numFmtId="0" fontId="12" fillId="0" borderId="0"/>
    <xf numFmtId="0" fontId="133" fillId="0" borderId="0"/>
    <xf numFmtId="0" fontId="12" fillId="0" borderId="0"/>
    <xf numFmtId="0" fontId="136" fillId="0" borderId="0"/>
    <xf numFmtId="0" fontId="12" fillId="0" borderId="0"/>
    <xf numFmtId="0" fontId="12" fillId="0" borderId="0"/>
    <xf numFmtId="0" fontId="153" fillId="0" borderId="0"/>
    <xf numFmtId="0" fontId="12" fillId="0" borderId="0"/>
    <xf numFmtId="0" fontId="12" fillId="0" borderId="0"/>
    <xf numFmtId="3" fontId="121" fillId="0" borderId="0"/>
    <xf numFmtId="3" fontId="12" fillId="0" borderId="0"/>
    <xf numFmtId="0" fontId="12" fillId="0" borderId="0"/>
    <xf numFmtId="3" fontId="12" fillId="0" borderId="0"/>
    <xf numFmtId="0" fontId="12" fillId="0" borderId="0"/>
    <xf numFmtId="0" fontId="160" fillId="0" borderId="0"/>
    <xf numFmtId="0" fontId="128" fillId="0" borderId="0"/>
    <xf numFmtId="0" fontId="12" fillId="0" borderId="0"/>
    <xf numFmtId="0" fontId="12" fillId="0" borderId="0"/>
    <xf numFmtId="0" fontId="129" fillId="0" borderId="0"/>
    <xf numFmtId="0" fontId="12" fillId="0" borderId="0"/>
    <xf numFmtId="0" fontId="136" fillId="0" borderId="0"/>
    <xf numFmtId="0" fontId="12" fillId="0" borderId="0"/>
    <xf numFmtId="0" fontId="160" fillId="0" borderId="0"/>
    <xf numFmtId="0" fontId="12" fillId="0" borderId="0"/>
    <xf numFmtId="0" fontId="160" fillId="0" borderId="0"/>
    <xf numFmtId="0" fontId="12" fillId="0" borderId="0"/>
    <xf numFmtId="0" fontId="160" fillId="0" borderId="0"/>
    <xf numFmtId="0" fontId="12" fillId="0" borderId="0"/>
    <xf numFmtId="0" fontId="3" fillId="0" borderId="0" applyProtection="0"/>
    <xf numFmtId="0" fontId="2" fillId="0" borderId="0"/>
    <xf numFmtId="0" fontId="129" fillId="0" borderId="0"/>
    <xf numFmtId="0" fontId="12" fillId="0" borderId="0"/>
    <xf numFmtId="0" fontId="12" fillId="0" borderId="0"/>
    <xf numFmtId="0" fontId="133" fillId="0" borderId="0"/>
    <xf numFmtId="0" fontId="12" fillId="0" borderId="0"/>
    <xf numFmtId="172" fontId="3" fillId="0" borderId="0" applyProtection="0"/>
    <xf numFmtId="0" fontId="2" fillId="0" borderId="0"/>
    <xf numFmtId="172" fontId="3" fillId="0" borderId="0" applyProtection="0"/>
    <xf numFmtId="0" fontId="70" fillId="0" borderId="0"/>
    <xf numFmtId="0" fontId="3" fillId="0" borderId="0"/>
    <xf numFmtId="0" fontId="12" fillId="0" borderId="0"/>
    <xf numFmtId="0" fontId="2" fillId="0" borderId="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55" fillId="0" borderId="0" applyFont="0" applyFill="0" applyBorder="0" applyAlignment="0" applyProtection="0"/>
    <xf numFmtId="9" fontId="15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3" fillId="0" borderId="0" applyFont="0" applyFill="0" applyBorder="0" applyAlignment="0" applyProtection="0"/>
    <xf numFmtId="9" fontId="12" fillId="0" borderId="0" applyFont="0" applyFill="0" applyBorder="0" applyAlignment="0" applyProtection="0"/>
    <xf numFmtId="9" fontId="155" fillId="0" borderId="0" applyFont="0" applyFill="0" applyBorder="0" applyAlignment="0" applyProtection="0"/>
    <xf numFmtId="9" fontId="16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3" fillId="0" borderId="0" applyFont="0" applyFill="0" applyBorder="0" applyAlignment="0" applyProtection="0"/>
    <xf numFmtId="9" fontId="12" fillId="0" borderId="0" applyFont="0" applyFill="0" applyBorder="0" applyAlignment="0" applyProtection="0"/>
    <xf numFmtId="9" fontId="160" fillId="0" borderId="0" applyFont="0" applyFill="0" applyBorder="0" applyAlignment="0" applyProtection="0"/>
    <xf numFmtId="9" fontId="14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53" fillId="0" borderId="0" applyFont="0" applyFill="0" applyBorder="0" applyAlignment="0" applyProtection="0"/>
    <xf numFmtId="9" fontId="12"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72" fontId="3" fillId="0" borderId="0" applyProtection="0"/>
    <xf numFmtId="172" fontId="3" fillId="0" borderId="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0" borderId="0"/>
    <xf numFmtId="0" fontId="2" fillId="0" borderId="0"/>
    <xf numFmtId="0" fontId="2" fillId="0" borderId="0"/>
  </cellStyleXfs>
  <cellXfs count="1337">
    <xf numFmtId="0" fontId="0" fillId="0" borderId="0" xfId="0"/>
    <xf numFmtId="0" fontId="0" fillId="0" borderId="0" xfId="0" applyAlignment="1">
      <alignment horizontal="center"/>
    </xf>
    <xf numFmtId="0" fontId="5" fillId="0" borderId="0" xfId="0" applyFont="1"/>
    <xf numFmtId="3" fontId="5" fillId="0" borderId="0" xfId="0" applyNumberFormat="1" applyFont="1" applyAlignment="1">
      <alignment horizontal="center"/>
    </xf>
    <xf numFmtId="0" fontId="12" fillId="0" borderId="0" xfId="0" applyFont="1"/>
    <xf numFmtId="0" fontId="9" fillId="0" borderId="0" xfId="268" applyFont="1" applyAlignment="1">
      <alignment horizontal="center"/>
    </xf>
    <xf numFmtId="0" fontId="15" fillId="0" borderId="0" xfId="268" applyFont="1"/>
    <xf numFmtId="9" fontId="9" fillId="0" borderId="0" xfId="268" quotePrefix="1" applyNumberFormat="1" applyFont="1" applyAlignment="1">
      <alignment horizontal="center"/>
    </xf>
    <xf numFmtId="0" fontId="17" fillId="0" borderId="0" xfId="268" applyFont="1" applyAlignment="1">
      <alignment horizontal="right"/>
    </xf>
    <xf numFmtId="0" fontId="17" fillId="0" borderId="0" xfId="268" applyFont="1" applyAlignment="1">
      <alignment horizontal="center"/>
    </xf>
    <xf numFmtId="9" fontId="9" fillId="0" borderId="0" xfId="268" applyNumberFormat="1" applyFont="1" applyAlignment="1">
      <alignment horizontal="center"/>
    </xf>
    <xf numFmtId="0" fontId="4" fillId="0" borderId="0" xfId="0" applyFont="1"/>
    <xf numFmtId="0" fontId="18" fillId="0" borderId="0" xfId="0" applyFont="1"/>
    <xf numFmtId="0" fontId="12" fillId="0" borderId="0" xfId="268" applyFont="1"/>
    <xf numFmtId="0" fontId="15" fillId="0" borderId="0" xfId="268" applyFont="1" applyAlignment="1">
      <alignment horizontal="left"/>
    </xf>
    <xf numFmtId="3" fontId="12" fillId="0" borderId="0" xfId="0" applyNumberFormat="1" applyFont="1"/>
    <xf numFmtId="0" fontId="5" fillId="0" borderId="0" xfId="268" applyFont="1" applyAlignment="1">
      <alignment horizontal="right"/>
    </xf>
    <xf numFmtId="0" fontId="5" fillId="0" borderId="0" xfId="268" applyFont="1"/>
    <xf numFmtId="0" fontId="9" fillId="0" borderId="0" xfId="268" applyFont="1" applyAlignment="1">
      <alignment horizontal="left"/>
    </xf>
    <xf numFmtId="0" fontId="9" fillId="0" borderId="0" xfId="268" applyFont="1"/>
    <xf numFmtId="0" fontId="12" fillId="0" borderId="0" xfId="268" applyFont="1" applyAlignment="1">
      <alignment horizontal="left"/>
    </xf>
    <xf numFmtId="0" fontId="6" fillId="0" borderId="0" xfId="268" applyFont="1" applyAlignment="1">
      <alignment horizontal="center"/>
    </xf>
    <xf numFmtId="37" fontId="5" fillId="0" borderId="0" xfId="0" applyNumberFormat="1" applyFont="1"/>
    <xf numFmtId="0" fontId="26" fillId="0" borderId="0" xfId="0" applyFont="1"/>
    <xf numFmtId="0" fontId="5" fillId="0" borderId="0" xfId="0" applyFont="1" applyAlignment="1">
      <alignment horizontal="center"/>
    </xf>
    <xf numFmtId="37" fontId="5" fillId="0" borderId="0" xfId="0" applyNumberFormat="1" applyFont="1" applyAlignment="1">
      <alignment horizontal="center"/>
    </xf>
    <xf numFmtId="10" fontId="5" fillId="0" borderId="0" xfId="0" applyNumberFormat="1" applyFont="1"/>
    <xf numFmtId="175" fontId="5" fillId="0" borderId="0" xfId="0" applyNumberFormat="1" applyFont="1"/>
    <xf numFmtId="3" fontId="19" fillId="0" borderId="0" xfId="0" applyNumberFormat="1" applyFont="1"/>
    <xf numFmtId="41" fontId="27" fillId="0" borderId="0" xfId="268" applyNumberFormat="1" applyFont="1"/>
    <xf numFmtId="0" fontId="26" fillId="0" borderId="0" xfId="268" applyFont="1"/>
    <xf numFmtId="41" fontId="26" fillId="0" borderId="0" xfId="268" applyNumberFormat="1" applyFont="1"/>
    <xf numFmtId="0" fontId="26" fillId="0" borderId="0" xfId="268" applyFont="1" applyAlignment="1">
      <alignment horizontal="left"/>
    </xf>
    <xf numFmtId="0" fontId="26" fillId="0" borderId="0" xfId="268" applyFont="1" applyAlignment="1">
      <alignment horizontal="center"/>
    </xf>
    <xf numFmtId="0" fontId="10" fillId="0" borderId="0" xfId="268" applyFont="1" applyAlignment="1">
      <alignment horizontal="center"/>
    </xf>
    <xf numFmtId="173" fontId="26" fillId="0" borderId="0" xfId="268" applyNumberFormat="1" applyFont="1"/>
    <xf numFmtId="173" fontId="26" fillId="0" borderId="0" xfId="268" applyNumberFormat="1" applyFont="1" applyAlignment="1">
      <alignment vertical="top"/>
    </xf>
    <xf numFmtId="41" fontId="26" fillId="0" borderId="13" xfId="268" applyNumberFormat="1" applyFont="1" applyBorder="1"/>
    <xf numFmtId="173" fontId="6" fillId="0" borderId="0" xfId="86" applyNumberFormat="1" applyFont="1" applyFill="1" applyAlignment="1">
      <alignment horizontal="center"/>
    </xf>
    <xf numFmtId="0" fontId="5" fillId="0" borderId="0" xfId="268" applyFont="1" applyAlignment="1">
      <alignment horizontal="center"/>
    </xf>
    <xf numFmtId="0" fontId="30" fillId="0" borderId="0" xfId="268" applyFont="1"/>
    <xf numFmtId="41" fontId="5" fillId="0" borderId="13" xfId="268" applyNumberFormat="1" applyFont="1" applyBorder="1"/>
    <xf numFmtId="38" fontId="12" fillId="0" borderId="0" xfId="0" applyNumberFormat="1" applyFont="1"/>
    <xf numFmtId="43" fontId="5" fillId="0" borderId="0" xfId="268" applyNumberFormat="1" applyFont="1"/>
    <xf numFmtId="3" fontId="5" fillId="0" borderId="0" xfId="0" applyNumberFormat="1" applyFont="1"/>
    <xf numFmtId="41" fontId="27" fillId="25" borderId="0" xfId="268" applyNumberFormat="1" applyFont="1" applyFill="1"/>
    <xf numFmtId="0" fontId="7" fillId="0" borderId="0" xfId="224" applyFont="1" applyAlignment="1">
      <alignment horizontal="left"/>
    </xf>
    <xf numFmtId="0" fontId="12" fillId="0" borderId="0" xfId="224"/>
    <xf numFmtId="0" fontId="12" fillId="0" borderId="0" xfId="224" applyAlignment="1">
      <alignment horizontal="left"/>
    </xf>
    <xf numFmtId="0" fontId="9" fillId="0" borderId="0" xfId="224" applyFont="1" applyAlignment="1">
      <alignment horizontal="left"/>
    </xf>
    <xf numFmtId="3" fontId="12" fillId="0" borderId="0" xfId="224" applyNumberFormat="1"/>
    <xf numFmtId="0" fontId="12" fillId="0" borderId="0" xfId="224" applyAlignment="1">
      <alignment horizontal="center"/>
    </xf>
    <xf numFmtId="173" fontId="12" fillId="0" borderId="0" xfId="91" applyNumberFormat="1" applyFont="1" applyFill="1" applyBorder="1" applyAlignment="1">
      <alignment horizontal="right"/>
    </xf>
    <xf numFmtId="0" fontId="8" fillId="0" borderId="0" xfId="224" applyFont="1"/>
    <xf numFmtId="0" fontId="9" fillId="0" borderId="0" xfId="224" applyFont="1"/>
    <xf numFmtId="0" fontId="9" fillId="0" borderId="0" xfId="224" applyFont="1" applyAlignment="1">
      <alignment horizontal="center"/>
    </xf>
    <xf numFmtId="164" fontId="12" fillId="0" borderId="0" xfId="289" applyNumberFormat="1" applyFont="1" applyFill="1" applyBorder="1" applyAlignment="1"/>
    <xf numFmtId="173" fontId="12" fillId="0" borderId="0" xfId="91" applyNumberFormat="1" applyFont="1" applyFill="1" applyBorder="1" applyAlignment="1">
      <alignment horizontal="left"/>
    </xf>
    <xf numFmtId="3" fontId="12" fillId="0" borderId="0" xfId="224" applyNumberFormat="1" applyAlignment="1">
      <alignment horizontal="right"/>
    </xf>
    <xf numFmtId="3" fontId="12" fillId="0" borderId="0" xfId="224" applyNumberFormat="1" applyAlignment="1">
      <alignment horizontal="center"/>
    </xf>
    <xf numFmtId="0" fontId="0" fillId="0" borderId="0" xfId="0" applyAlignment="1">
      <alignment horizontal="center" wrapText="1"/>
    </xf>
    <xf numFmtId="0" fontId="19" fillId="0" borderId="0" xfId="268" applyFont="1"/>
    <xf numFmtId="0" fontId="17" fillId="0" borderId="0" xfId="224" applyFont="1" applyAlignment="1">
      <alignment horizontal="left"/>
    </xf>
    <xf numFmtId="173" fontId="12" fillId="0" borderId="14" xfId="91" applyNumberFormat="1" applyFont="1" applyFill="1" applyBorder="1" applyAlignment="1">
      <alignment horizontal="right"/>
    </xf>
    <xf numFmtId="0" fontId="12" fillId="0" borderId="0" xfId="268" applyFont="1" applyAlignment="1">
      <alignment horizontal="center"/>
    </xf>
    <xf numFmtId="3" fontId="10" fillId="0" borderId="0" xfId="0" applyNumberFormat="1" applyFont="1" applyAlignment="1">
      <alignment horizontal="center"/>
    </xf>
    <xf numFmtId="173" fontId="2" fillId="0" borderId="0" xfId="86" applyNumberFormat="1"/>
    <xf numFmtId="0" fontId="12" fillId="0" borderId="0" xfId="0" applyFont="1" applyAlignment="1">
      <alignment horizontal="center"/>
    </xf>
    <xf numFmtId="173" fontId="2" fillId="0" borderId="0" xfId="86" applyNumberFormat="1" applyFill="1"/>
    <xf numFmtId="183" fontId="18" fillId="0" borderId="0" xfId="277" applyNumberFormat="1" applyFont="1"/>
    <xf numFmtId="0" fontId="71" fillId="0" borderId="0" xfId="277" applyFont="1"/>
    <xf numFmtId="183" fontId="18" fillId="0" borderId="0" xfId="277" applyNumberFormat="1" applyFont="1" applyAlignment="1">
      <alignment horizontal="center"/>
    </xf>
    <xf numFmtId="0" fontId="12" fillId="0" borderId="0" xfId="277" applyFont="1"/>
    <xf numFmtId="0" fontId="18" fillId="0" borderId="0" xfId="277" applyFont="1"/>
    <xf numFmtId="0" fontId="18" fillId="0" borderId="0" xfId="277" applyFont="1" applyAlignment="1">
      <alignment horizontal="center"/>
    </xf>
    <xf numFmtId="183" fontId="72" fillId="0" borderId="0" xfId="277" applyNumberFormat="1" applyFont="1"/>
    <xf numFmtId="0" fontId="73" fillId="0" borderId="0" xfId="277" applyFont="1"/>
    <xf numFmtId="173" fontId="71" fillId="0" borderId="0" xfId="277" applyNumberFormat="1" applyFont="1"/>
    <xf numFmtId="0" fontId="74" fillId="0" borderId="0" xfId="277" applyFont="1"/>
    <xf numFmtId="183" fontId="12" fillId="0" borderId="0" xfId="277" applyNumberFormat="1" applyFont="1"/>
    <xf numFmtId="0" fontId="75" fillId="0" borderId="0" xfId="275" applyFont="1" applyAlignment="1">
      <alignment horizontal="center"/>
    </xf>
    <xf numFmtId="0" fontId="75" fillId="0" borderId="0" xfId="275" applyFont="1" applyAlignment="1">
      <alignment horizontal="left" indent="2"/>
    </xf>
    <xf numFmtId="39" fontId="75" fillId="0" borderId="0" xfId="275" applyNumberFormat="1" applyFont="1"/>
    <xf numFmtId="43" fontId="71" fillId="0" borderId="0" xfId="86" applyFont="1"/>
    <xf numFmtId="173" fontId="76" fillId="0" borderId="0" xfId="277" applyNumberFormat="1" applyFont="1"/>
    <xf numFmtId="183" fontId="5" fillId="0" borderId="0" xfId="277" applyNumberFormat="1" applyFont="1"/>
    <xf numFmtId="43" fontId="76" fillId="0" borderId="0" xfId="86" applyFont="1"/>
    <xf numFmtId="43" fontId="5" fillId="0" borderId="0" xfId="86" applyFont="1"/>
    <xf numFmtId="173" fontId="76" fillId="0" borderId="0" xfId="86" applyNumberFormat="1" applyFont="1"/>
    <xf numFmtId="173" fontId="5" fillId="0" borderId="0" xfId="86" applyNumberFormat="1" applyFont="1"/>
    <xf numFmtId="173" fontId="71" fillId="0" borderId="14" xfId="86" applyNumberFormat="1" applyFont="1" applyBorder="1"/>
    <xf numFmtId="0" fontId="71" fillId="0" borderId="0" xfId="0" applyFont="1"/>
    <xf numFmtId="10" fontId="5" fillId="0" borderId="14" xfId="0" applyNumberFormat="1" applyFont="1" applyBorder="1"/>
    <xf numFmtId="0" fontId="79" fillId="0" borderId="0" xfId="277" applyFont="1" applyAlignment="1">
      <alignment horizontal="center"/>
    </xf>
    <xf numFmtId="173" fontId="0" fillId="0" borderId="0" xfId="86" applyNumberFormat="1" applyFont="1" applyFill="1"/>
    <xf numFmtId="173" fontId="0" fillId="0" borderId="0" xfId="0" applyNumberFormat="1"/>
    <xf numFmtId="173" fontId="12" fillId="0" borderId="0" xfId="86" applyNumberFormat="1" applyFont="1" applyFill="1"/>
    <xf numFmtId="0" fontId="9" fillId="0" borderId="0" xfId="268" applyFont="1" applyAlignment="1">
      <alignment horizontal="center" wrapText="1"/>
    </xf>
    <xf numFmtId="38" fontId="12" fillId="0" borderId="0" xfId="0" applyNumberFormat="1" applyFont="1" applyAlignment="1">
      <alignment horizontal="center"/>
    </xf>
    <xf numFmtId="0" fontId="2" fillId="0" borderId="0" xfId="268" applyAlignment="1">
      <alignment horizontal="left"/>
    </xf>
    <xf numFmtId="0" fontId="2" fillId="0" borderId="0" xfId="268"/>
    <xf numFmtId="0" fontId="80" fillId="0" borderId="0" xfId="268" applyFont="1"/>
    <xf numFmtId="0" fontId="69" fillId="0" borderId="0" xfId="268" applyFont="1" applyAlignment="1">
      <alignment horizontal="center"/>
    </xf>
    <xf numFmtId="38" fontId="12" fillId="0" borderId="15" xfId="0" applyNumberFormat="1" applyFont="1" applyBorder="1"/>
    <xf numFmtId="0" fontId="81" fillId="0" borderId="0" xfId="224" applyFont="1" applyAlignment="1">
      <alignment horizontal="left"/>
    </xf>
    <xf numFmtId="38" fontId="12" fillId="0" borderId="0" xfId="224" applyNumberFormat="1" applyAlignment="1">
      <alignment horizontal="right"/>
    </xf>
    <xf numFmtId="0" fontId="12" fillId="0" borderId="0" xfId="224" applyAlignment="1">
      <alignment horizontal="right"/>
    </xf>
    <xf numFmtId="38" fontId="12" fillId="0" borderId="0" xfId="0" applyNumberFormat="1" applyFont="1" applyAlignment="1">
      <alignment horizontal="right"/>
    </xf>
    <xf numFmtId="38" fontId="8" fillId="0" borderId="0" xfId="224" applyNumberFormat="1" applyFont="1"/>
    <xf numFmtId="173" fontId="8" fillId="0" borderId="14" xfId="86" applyNumberFormat="1" applyFont="1" applyFill="1" applyBorder="1" applyAlignment="1"/>
    <xf numFmtId="0" fontId="12" fillId="0" borderId="14" xfId="224" applyBorder="1" applyAlignment="1">
      <alignment horizontal="left"/>
    </xf>
    <xf numFmtId="41" fontId="71" fillId="0" borderId="0" xfId="277" applyNumberFormat="1" applyFont="1"/>
    <xf numFmtId="173" fontId="71" fillId="0" borderId="0" xfId="86" applyNumberFormat="1" applyFont="1" applyFill="1"/>
    <xf numFmtId="3" fontId="4" fillId="0" borderId="0" xfId="0" applyNumberFormat="1" applyFont="1" applyAlignment="1">
      <alignment horizontal="center"/>
    </xf>
    <xf numFmtId="0" fontId="9" fillId="0" borderId="0" xfId="0" applyFont="1" applyAlignment="1">
      <alignment horizontal="center"/>
    </xf>
    <xf numFmtId="173" fontId="0" fillId="0" borderId="0" xfId="86" applyNumberFormat="1" applyFont="1"/>
    <xf numFmtId="173" fontId="12" fillId="0" borderId="0" xfId="224" applyNumberFormat="1"/>
    <xf numFmtId="0" fontId="12" fillId="25" borderId="0" xfId="224" applyFill="1" applyAlignment="1">
      <alignment horizontal="center"/>
    </xf>
    <xf numFmtId="0" fontId="9" fillId="25" borderId="0" xfId="224" applyFont="1" applyFill="1" applyAlignment="1">
      <alignment horizontal="left"/>
    </xf>
    <xf numFmtId="0" fontId="8" fillId="25" borderId="0" xfId="224" applyFont="1" applyFill="1"/>
    <xf numFmtId="0" fontId="12" fillId="25" borderId="0" xfId="224" applyFill="1" applyAlignment="1">
      <alignment horizontal="left"/>
    </xf>
    <xf numFmtId="0" fontId="12" fillId="25" borderId="0" xfId="224" applyFill="1"/>
    <xf numFmtId="173" fontId="12" fillId="25" borderId="0" xfId="91" applyNumberFormat="1" applyFont="1" applyFill="1" applyBorder="1" applyAlignment="1">
      <alignment horizontal="right"/>
    </xf>
    <xf numFmtId="0" fontId="0" fillId="25" borderId="0" xfId="0" applyFill="1"/>
    <xf numFmtId="164" fontId="12" fillId="25" borderId="0" xfId="289" applyNumberFormat="1" applyFont="1" applyFill="1" applyBorder="1" applyAlignment="1"/>
    <xf numFmtId="173" fontId="12" fillId="25" borderId="0" xfId="91" applyNumberFormat="1" applyFont="1" applyFill="1" applyBorder="1" applyAlignment="1">
      <alignment horizontal="left"/>
    </xf>
    <xf numFmtId="0" fontId="13" fillId="0" borderId="0" xfId="0" applyFont="1"/>
    <xf numFmtId="0" fontId="17" fillId="0" borderId="0" xfId="224" applyFont="1" applyAlignment="1">
      <alignment horizontal="center"/>
    </xf>
    <xf numFmtId="0" fontId="13" fillId="0" borderId="0" xfId="224" applyFont="1" applyAlignment="1">
      <alignment horizontal="left"/>
    </xf>
    <xf numFmtId="173" fontId="13" fillId="0" borderId="0" xfId="91" applyNumberFormat="1" applyFont="1" applyFill="1" applyBorder="1" applyAlignment="1">
      <alignment horizontal="right"/>
    </xf>
    <xf numFmtId="0" fontId="14" fillId="0" borderId="0" xfId="268" applyFont="1"/>
    <xf numFmtId="0" fontId="83" fillId="0" borderId="0" xfId="268" applyFont="1"/>
    <xf numFmtId="9" fontId="10" fillId="0" borderId="0" xfId="268" quotePrefix="1" applyNumberFormat="1" applyFont="1" applyAlignment="1">
      <alignment horizontal="center"/>
    </xf>
    <xf numFmtId="0" fontId="4" fillId="0" borderId="0" xfId="277" applyFont="1" applyAlignment="1">
      <alignment horizontal="center"/>
    </xf>
    <xf numFmtId="0" fontId="4" fillId="0" borderId="0" xfId="277" applyFont="1"/>
    <xf numFmtId="183" fontId="4" fillId="0" borderId="0" xfId="277" applyNumberFormat="1" applyFont="1" applyAlignment="1">
      <alignment horizontal="center"/>
    </xf>
    <xf numFmtId="0" fontId="9" fillId="0" borderId="0" xfId="277" applyFont="1"/>
    <xf numFmtId="0" fontId="4" fillId="0" borderId="11" xfId="277" applyFont="1" applyBorder="1" applyAlignment="1">
      <alignment horizontal="center"/>
    </xf>
    <xf numFmtId="183" fontId="4" fillId="0" borderId="11" xfId="277" applyNumberFormat="1" applyFont="1" applyBorder="1" applyAlignment="1">
      <alignment horizontal="center"/>
    </xf>
    <xf numFmtId="0" fontId="74" fillId="0" borderId="11" xfId="277" applyFont="1" applyBorder="1" applyAlignment="1">
      <alignment horizontal="center"/>
    </xf>
    <xf numFmtId="0" fontId="9" fillId="0" borderId="0" xfId="277" applyFont="1" applyAlignment="1">
      <alignment horizontal="center"/>
    </xf>
    <xf numFmtId="0" fontId="84" fillId="0" borderId="0" xfId="277" applyFont="1"/>
    <xf numFmtId="0" fontId="9" fillId="0" borderId="0" xfId="0" applyFont="1" applyAlignment="1">
      <alignment horizontal="left"/>
    </xf>
    <xf numFmtId="173" fontId="85" fillId="0" borderId="0" xfId="86" applyNumberFormat="1" applyFont="1" applyFill="1"/>
    <xf numFmtId="41" fontId="86" fillId="26" borderId="0" xfId="277" applyNumberFormat="1" applyFont="1" applyFill="1"/>
    <xf numFmtId="0" fontId="90" fillId="0" borderId="0" xfId="0" applyFont="1" applyAlignment="1">
      <alignment horizontal="center"/>
    </xf>
    <xf numFmtId="0" fontId="89" fillId="0" borderId="0" xfId="268" applyFont="1" applyAlignment="1">
      <alignment horizontal="center"/>
    </xf>
    <xf numFmtId="164" fontId="0" fillId="0" borderId="0" xfId="285" applyNumberFormat="1" applyFont="1"/>
    <xf numFmtId="173" fontId="93" fillId="0" borderId="0" xfId="277" applyNumberFormat="1" applyFont="1"/>
    <xf numFmtId="0" fontId="23" fillId="0" borderId="0" xfId="268" applyFont="1" applyAlignment="1">
      <alignment horizontal="center"/>
    </xf>
    <xf numFmtId="37" fontId="12" fillId="0" borderId="15" xfId="0" applyNumberFormat="1" applyFont="1" applyBorder="1"/>
    <xf numFmtId="37" fontId="12" fillId="0" borderId="0" xfId="224" applyNumberFormat="1" applyAlignment="1">
      <alignment horizontal="right"/>
    </xf>
    <xf numFmtId="37" fontId="8" fillId="0" borderId="0" xfId="224" applyNumberFormat="1" applyFont="1"/>
    <xf numFmtId="0" fontId="96" fillId="0" borderId="0" xfId="268" applyFont="1"/>
    <xf numFmtId="0" fontId="12" fillId="0" borderId="0" xfId="0" applyFont="1" applyAlignment="1">
      <alignment horizontal="center" wrapText="1"/>
    </xf>
    <xf numFmtId="0" fontId="32" fillId="0" borderId="0" xfId="0" applyFont="1"/>
    <xf numFmtId="173" fontId="0" fillId="0" borderId="14" xfId="0" applyNumberFormat="1" applyBorder="1"/>
    <xf numFmtId="9" fontId="0" fillId="0" borderId="0" xfId="285" applyFont="1"/>
    <xf numFmtId="0" fontId="98" fillId="0" borderId="0" xfId="0" applyFont="1" applyAlignment="1">
      <alignment horizontal="center" wrapText="1"/>
    </xf>
    <xf numFmtId="0" fontId="18" fillId="0" borderId="0" xfId="275" applyFont="1" applyAlignment="1">
      <alignment horizontal="center"/>
    </xf>
    <xf numFmtId="0" fontId="32" fillId="0" borderId="0" xfId="268" applyFont="1" applyAlignment="1">
      <alignment horizontal="left"/>
    </xf>
    <xf numFmtId="0" fontId="32" fillId="0" borderId="0" xfId="268" applyFont="1"/>
    <xf numFmtId="0" fontId="100" fillId="0" borderId="0" xfId="268" applyFont="1" applyAlignment="1">
      <alignment horizontal="center"/>
    </xf>
    <xf numFmtId="0" fontId="101" fillId="0" borderId="0" xfId="268" applyFont="1"/>
    <xf numFmtId="187" fontId="102" fillId="0" borderId="0" xfId="224" applyNumberFormat="1" applyFont="1" applyAlignment="1">
      <alignment horizontal="center"/>
    </xf>
    <xf numFmtId="38" fontId="0" fillId="0" borderId="0" xfId="0" applyNumberFormat="1"/>
    <xf numFmtId="0" fontId="2" fillId="0" borderId="0" xfId="0" applyFont="1"/>
    <xf numFmtId="3" fontId="13" fillId="0" borderId="0" xfId="224" applyNumberFormat="1" applyFont="1" applyAlignment="1">
      <alignment horizontal="center"/>
    </xf>
    <xf numFmtId="0" fontId="103" fillId="0" borderId="0" xfId="277" applyFont="1"/>
    <xf numFmtId="41" fontId="103" fillId="0" borderId="0" xfId="277" applyNumberFormat="1" applyFont="1"/>
    <xf numFmtId="0" fontId="4" fillId="0" borderId="11" xfId="277" applyFont="1" applyBorder="1"/>
    <xf numFmtId="0" fontId="71" fillId="0" borderId="0" xfId="277" applyFont="1" applyAlignment="1">
      <alignment horizontal="center"/>
    </xf>
    <xf numFmtId="173" fontId="78" fillId="0" borderId="0" xfId="277" applyNumberFormat="1" applyFont="1"/>
    <xf numFmtId="3" fontId="78" fillId="0" borderId="0" xfId="277" applyNumberFormat="1" applyFont="1"/>
    <xf numFmtId="0" fontId="22" fillId="0" borderId="0" xfId="268" applyFont="1"/>
    <xf numFmtId="38" fontId="26" fillId="0" borderId="13" xfId="268" applyNumberFormat="1" applyFont="1" applyBorder="1" applyAlignment="1">
      <alignment horizontal="right"/>
    </xf>
    <xf numFmtId="0" fontId="75" fillId="0" borderId="0" xfId="277" applyFont="1"/>
    <xf numFmtId="173" fontId="119" fillId="0" borderId="0" xfId="0" applyNumberFormat="1" applyFont="1"/>
    <xf numFmtId="0" fontId="106" fillId="0" borderId="0" xfId="224" applyFont="1" applyAlignment="1">
      <alignment horizontal="center"/>
    </xf>
    <xf numFmtId="0" fontId="98" fillId="0" borderId="0" xfId="224" applyFont="1" applyAlignment="1">
      <alignment horizontal="left"/>
    </xf>
    <xf numFmtId="0" fontId="32" fillId="0" borderId="0" xfId="224" applyFont="1" applyAlignment="1">
      <alignment horizontal="center"/>
    </xf>
    <xf numFmtId="0" fontId="32" fillId="0" borderId="0" xfId="224" applyFont="1" applyAlignment="1">
      <alignment horizontal="left"/>
    </xf>
    <xf numFmtId="0" fontId="32" fillId="0" borderId="0" xfId="224" applyFont="1"/>
    <xf numFmtId="3" fontId="32" fillId="0" borderId="0" xfId="224" applyNumberFormat="1" applyFont="1"/>
    <xf numFmtId="0" fontId="106" fillId="0" borderId="0" xfId="224" applyFont="1"/>
    <xf numFmtId="0" fontId="118" fillId="0" borderId="0" xfId="268" applyFont="1" applyAlignment="1">
      <alignment horizontal="center"/>
    </xf>
    <xf numFmtId="0" fontId="98" fillId="0" borderId="0" xfId="0" applyFont="1" applyAlignment="1">
      <alignment horizontal="center"/>
    </xf>
    <xf numFmtId="37" fontId="120" fillId="0" borderId="13" xfId="0" applyNumberFormat="1" applyFont="1" applyBorder="1"/>
    <xf numFmtId="0" fontId="26" fillId="0" borderId="0" xfId="0" applyFont="1" applyAlignment="1">
      <alignment horizontal="left"/>
    </xf>
    <xf numFmtId="41" fontId="26" fillId="0" borderId="11" xfId="268" applyNumberFormat="1" applyFont="1" applyBorder="1"/>
    <xf numFmtId="3" fontId="19" fillId="31" borderId="0" xfId="0" applyNumberFormat="1" applyFont="1" applyFill="1"/>
    <xf numFmtId="173" fontId="78" fillId="31" borderId="0" xfId="277" applyNumberFormat="1" applyFont="1" applyFill="1"/>
    <xf numFmtId="0" fontId="71" fillId="31" borderId="0" xfId="277" applyFont="1" applyFill="1" applyAlignment="1">
      <alignment horizontal="center"/>
    </xf>
    <xf numFmtId="3" fontId="32" fillId="31" borderId="0" xfId="224" applyNumberFormat="1" applyFont="1" applyFill="1"/>
    <xf numFmtId="0" fontId="0" fillId="31" borderId="0" xfId="0" applyFill="1"/>
    <xf numFmtId="41" fontId="71" fillId="31" borderId="0" xfId="277" applyNumberFormat="1" applyFont="1" applyFill="1"/>
    <xf numFmtId="0" fontId="71" fillId="31" borderId="0" xfId="277" applyFont="1" applyFill="1"/>
    <xf numFmtId="41" fontId="86" fillId="32" borderId="0" xfId="277" applyNumberFormat="1" applyFont="1" applyFill="1"/>
    <xf numFmtId="172" fontId="3" fillId="0" borderId="0" xfId="276" applyProtection="1"/>
    <xf numFmtId="172" fontId="5" fillId="0" borderId="0" xfId="276" applyFont="1" applyProtection="1"/>
    <xf numFmtId="0" fontId="6" fillId="0" borderId="0" xfId="276" applyNumberFormat="1" applyFont="1" applyAlignment="1" applyProtection="1">
      <alignment horizontal="left"/>
    </xf>
    <xf numFmtId="14" fontId="6" fillId="0" borderId="0" xfId="276" applyNumberFormat="1" applyFont="1" applyProtection="1"/>
    <xf numFmtId="172" fontId="6" fillId="0" borderId="0" xfId="276" applyFont="1" applyProtection="1"/>
    <xf numFmtId="0" fontId="5" fillId="0" borderId="0" xfId="276" applyNumberFormat="1" applyFont="1" applyProtection="1"/>
    <xf numFmtId="3" fontId="5" fillId="0" borderId="0" xfId="276" applyNumberFormat="1" applyFont="1" applyProtection="1"/>
    <xf numFmtId="0" fontId="3" fillId="0" borderId="0" xfId="276" applyNumberFormat="1" applyAlignment="1" applyProtection="1">
      <alignment horizontal="center"/>
    </xf>
    <xf numFmtId="0" fontId="5" fillId="0" borderId="0" xfId="276" applyNumberFormat="1" applyFont="1" applyAlignment="1" applyProtection="1">
      <alignment horizontal="center"/>
    </xf>
    <xf numFmtId="49" fontId="5" fillId="0" borderId="0" xfId="276" applyNumberFormat="1" applyFont="1" applyAlignment="1" applyProtection="1">
      <alignment horizontal="center"/>
    </xf>
    <xf numFmtId="3" fontId="21" fillId="0" borderId="0" xfId="0" applyNumberFormat="1" applyFont="1" applyAlignment="1">
      <alignment horizontal="center"/>
    </xf>
    <xf numFmtId="49" fontId="5" fillId="0" borderId="0" xfId="276" applyNumberFormat="1" applyFont="1" applyProtection="1"/>
    <xf numFmtId="39" fontId="5" fillId="0" borderId="0" xfId="86" applyNumberFormat="1" applyFont="1" applyAlignment="1" applyProtection="1">
      <alignment horizontal="center"/>
    </xf>
    <xf numFmtId="0" fontId="3" fillId="0" borderId="6" xfId="276" applyNumberFormat="1" applyBorder="1" applyAlignment="1" applyProtection="1">
      <alignment horizontal="center"/>
    </xf>
    <xf numFmtId="0" fontId="5" fillId="0" borderId="6" xfId="276" applyNumberFormat="1" applyFont="1" applyBorder="1" applyAlignment="1" applyProtection="1">
      <alignment horizontal="center"/>
    </xf>
    <xf numFmtId="0" fontId="5" fillId="0" borderId="0" xfId="276" applyNumberFormat="1" applyFont="1" applyAlignment="1" applyProtection="1">
      <alignment horizontal="left"/>
    </xf>
    <xf numFmtId="170" fontId="5" fillId="0" borderId="0" xfId="276" applyNumberFormat="1" applyFont="1" applyProtection="1"/>
    <xf numFmtId="3" fontId="5" fillId="0" borderId="0" xfId="276" applyNumberFormat="1" applyFont="1" applyAlignment="1" applyProtection="1">
      <alignment horizontal="left"/>
    </xf>
    <xf numFmtId="0" fontId="5" fillId="0" borderId="6" xfId="276" applyNumberFormat="1" applyFont="1" applyBorder="1" applyAlignment="1" applyProtection="1">
      <alignment horizontal="centerContinuous"/>
    </xf>
    <xf numFmtId="41" fontId="5" fillId="0" borderId="0" xfId="276" applyNumberFormat="1" applyFont="1" applyProtection="1"/>
    <xf numFmtId="3" fontId="5" fillId="0" borderId="0" xfId="276" applyNumberFormat="1" applyFont="1" applyAlignment="1" applyProtection="1">
      <alignment horizontal="center"/>
    </xf>
    <xf numFmtId="165" fontId="5" fillId="0" borderId="0" xfId="276" applyNumberFormat="1" applyFont="1" applyAlignment="1" applyProtection="1">
      <alignment horizontal="right"/>
    </xf>
    <xf numFmtId="42" fontId="5" fillId="0" borderId="0" xfId="276" applyNumberFormat="1" applyFont="1" applyProtection="1"/>
    <xf numFmtId="172" fontId="5" fillId="0" borderId="11" xfId="276" applyFont="1" applyBorder="1" applyProtection="1"/>
    <xf numFmtId="0" fontId="5" fillId="0" borderId="0" xfId="0" applyFont="1" applyAlignment="1">
      <alignment wrapText="1"/>
    </xf>
    <xf numFmtId="174" fontId="5" fillId="0" borderId="14" xfId="276" applyNumberFormat="1" applyFont="1" applyBorder="1" applyProtection="1"/>
    <xf numFmtId="172" fontId="77" fillId="0" borderId="0" xfId="276" applyFont="1" applyAlignment="1" applyProtection="1">
      <alignment horizontal="center" wrapText="1"/>
    </xf>
    <xf numFmtId="43" fontId="5" fillId="0" borderId="0" xfId="86" applyFont="1" applyProtection="1"/>
    <xf numFmtId="171" fontId="5" fillId="0" borderId="0" xfId="276" applyNumberFormat="1" applyFont="1" applyProtection="1"/>
    <xf numFmtId="10" fontId="5" fillId="0" borderId="0" xfId="276" applyNumberFormat="1" applyFont="1" applyProtection="1"/>
    <xf numFmtId="10" fontId="5" fillId="0" borderId="0" xfId="285" applyNumberFormat="1" applyFont="1" applyAlignment="1" applyProtection="1"/>
    <xf numFmtId="43" fontId="5" fillId="0" borderId="0" xfId="86" applyFont="1" applyAlignment="1" applyProtection="1"/>
    <xf numFmtId="41" fontId="5" fillId="0" borderId="0" xfId="276" applyNumberFormat="1" applyFont="1" applyAlignment="1" applyProtection="1">
      <alignment horizontal="center"/>
    </xf>
    <xf numFmtId="41" fontId="5" fillId="0" borderId="14" xfId="276" applyNumberFormat="1" applyFont="1" applyBorder="1" applyAlignment="1" applyProtection="1">
      <alignment horizontal="center"/>
    </xf>
    <xf numFmtId="41" fontId="5" fillId="0" borderId="0" xfId="276" applyNumberFormat="1" applyFont="1" applyAlignment="1" applyProtection="1">
      <alignment horizontal="right"/>
    </xf>
    <xf numFmtId="0" fontId="32" fillId="0" borderId="0" xfId="0" applyFont="1" applyAlignment="1">
      <alignment horizontal="center"/>
    </xf>
    <xf numFmtId="49" fontId="5" fillId="0" borderId="0" xfId="276" applyNumberFormat="1" applyFont="1" applyAlignment="1" applyProtection="1">
      <alignment horizontal="left"/>
    </xf>
    <xf numFmtId="0" fontId="3" fillId="0" borderId="0" xfId="276" applyNumberFormat="1" applyAlignment="1" applyProtection="1">
      <alignment horizontal="center" vertical="center"/>
    </xf>
    <xf numFmtId="3" fontId="6" fillId="0" borderId="0" xfId="276" applyNumberFormat="1" applyFont="1" applyAlignment="1" applyProtection="1">
      <alignment horizontal="center"/>
    </xf>
    <xf numFmtId="172" fontId="6" fillId="0" borderId="0" xfId="276" applyFont="1" applyAlignment="1" applyProtection="1">
      <alignment horizontal="center"/>
    </xf>
    <xf numFmtId="49" fontId="6" fillId="0" borderId="0" xfId="276" applyNumberFormat="1" applyFont="1" applyAlignment="1" applyProtection="1">
      <alignment horizontal="center"/>
    </xf>
    <xf numFmtId="0" fontId="10" fillId="0" borderId="0" xfId="276" applyNumberFormat="1" applyFont="1" applyAlignment="1" applyProtection="1">
      <alignment horizontal="center"/>
    </xf>
    <xf numFmtId="172" fontId="10" fillId="0" borderId="0" xfId="276" applyFont="1" applyAlignment="1" applyProtection="1">
      <alignment horizontal="center"/>
    </xf>
    <xf numFmtId="3" fontId="6" fillId="0" borderId="0" xfId="276" applyNumberFormat="1" applyFont="1" applyProtection="1"/>
    <xf numFmtId="173" fontId="5" fillId="0" borderId="0" xfId="86" applyNumberFormat="1" applyFont="1" applyFill="1" applyAlignment="1" applyProtection="1"/>
    <xf numFmtId="0" fontId="5" fillId="0" borderId="0" xfId="276" applyNumberFormat="1" applyFont="1" applyAlignment="1" applyProtection="1">
      <alignment vertical="center"/>
    </xf>
    <xf numFmtId="3" fontId="5" fillId="0" borderId="0" xfId="276" applyNumberFormat="1" applyFont="1" applyAlignment="1" applyProtection="1">
      <alignment vertical="center" wrapText="1"/>
    </xf>
    <xf numFmtId="3" fontId="5" fillId="0" borderId="0" xfId="276" applyNumberFormat="1" applyFont="1" applyAlignment="1" applyProtection="1">
      <alignment horizontal="center" vertical="center"/>
    </xf>
    <xf numFmtId="3" fontId="5" fillId="0" borderId="0" xfId="276" applyNumberFormat="1" applyFont="1" applyAlignment="1" applyProtection="1">
      <alignment vertical="center"/>
    </xf>
    <xf numFmtId="41" fontId="5" fillId="0" borderId="0" xfId="276" applyNumberFormat="1" applyFont="1" applyAlignment="1" applyProtection="1">
      <alignment vertical="center"/>
    </xf>
    <xf numFmtId="41" fontId="5" fillId="0" borderId="6" xfId="276" applyNumberFormat="1" applyFont="1" applyBorder="1" applyProtection="1"/>
    <xf numFmtId="177" fontId="6" fillId="0" borderId="0" xfId="276" applyNumberFormat="1" applyFont="1" applyAlignment="1" applyProtection="1">
      <alignment horizontal="right"/>
    </xf>
    <xf numFmtId="180" fontId="6" fillId="0" borderId="0" xfId="86" applyNumberFormat="1" applyFont="1" applyFill="1" applyAlignment="1" applyProtection="1"/>
    <xf numFmtId="182" fontId="5" fillId="0" borderId="0" xfId="276" applyNumberFormat="1" applyFont="1" applyProtection="1"/>
    <xf numFmtId="181" fontId="5" fillId="0" borderId="0" xfId="276" applyNumberFormat="1" applyFont="1" applyProtection="1"/>
    <xf numFmtId="0" fontId="5" fillId="0" borderId="0" xfId="276" applyNumberFormat="1" applyFont="1" applyAlignment="1" applyProtection="1">
      <alignment horizontal="center" vertical="center"/>
    </xf>
    <xf numFmtId="164" fontId="5" fillId="0" borderId="0" xfId="276" applyNumberFormat="1" applyFont="1" applyAlignment="1" applyProtection="1">
      <alignment horizontal="center"/>
    </xf>
    <xf numFmtId="176" fontId="5" fillId="0" borderId="0" xfId="86" applyNumberFormat="1" applyFont="1" applyFill="1" applyAlignment="1" applyProtection="1">
      <alignment horizontal="center"/>
    </xf>
    <xf numFmtId="165" fontId="5" fillId="0" borderId="0" xfId="276" applyNumberFormat="1" applyFont="1" applyProtection="1"/>
    <xf numFmtId="3" fontId="6" fillId="0" borderId="0" xfId="276" applyNumberFormat="1" applyFont="1" applyAlignment="1" applyProtection="1">
      <alignment horizontal="right"/>
    </xf>
    <xf numFmtId="180" fontId="5" fillId="0" borderId="0" xfId="86" applyNumberFormat="1" applyFont="1" applyFill="1" applyAlignment="1" applyProtection="1"/>
    <xf numFmtId="10" fontId="5" fillId="0" borderId="0" xfId="285" applyNumberFormat="1" applyFont="1" applyFill="1" applyAlignment="1" applyProtection="1"/>
    <xf numFmtId="41" fontId="5" fillId="0" borderId="0" xfId="276" applyNumberFormat="1" applyFont="1" applyAlignment="1" applyProtection="1">
      <alignment horizontal="center" vertical="center"/>
    </xf>
    <xf numFmtId="0" fontId="88" fillId="0" borderId="0" xfId="276" applyNumberFormat="1" applyFont="1" applyAlignment="1" applyProtection="1">
      <alignment horizontal="center"/>
    </xf>
    <xf numFmtId="3" fontId="5" fillId="0" borderId="0" xfId="276" applyNumberFormat="1" applyFont="1" applyAlignment="1" applyProtection="1">
      <alignment horizontal="right"/>
    </xf>
    <xf numFmtId="172" fontId="5" fillId="0" borderId="0" xfId="276" applyFont="1" applyAlignment="1" applyProtection="1">
      <alignment horizontal="center"/>
    </xf>
    <xf numFmtId="0" fontId="6" fillId="0" borderId="0" xfId="276" applyNumberFormat="1" applyFont="1" applyAlignment="1" applyProtection="1">
      <alignment horizontal="center"/>
    </xf>
    <xf numFmtId="3" fontId="10" fillId="0" borderId="0" xfId="276" applyNumberFormat="1" applyFont="1" applyAlignment="1" applyProtection="1">
      <alignment horizontal="center"/>
    </xf>
    <xf numFmtId="3" fontId="10" fillId="0" borderId="0" xfId="276" applyNumberFormat="1" applyFont="1" applyProtection="1"/>
    <xf numFmtId="43" fontId="12" fillId="0" borderId="0" xfId="86" applyFont="1" applyAlignment="1" applyProtection="1"/>
    <xf numFmtId="3" fontId="97" fillId="0" borderId="0" xfId="276" applyNumberFormat="1" applyFont="1" applyAlignment="1" applyProtection="1">
      <alignment horizontal="right"/>
    </xf>
    <xf numFmtId="166" fontId="5" fillId="0" borderId="0" xfId="276" applyNumberFormat="1" applyFont="1" applyProtection="1"/>
    <xf numFmtId="167" fontId="5" fillId="0" borderId="0" xfId="276" applyNumberFormat="1" applyFont="1" applyProtection="1"/>
    <xf numFmtId="172" fontId="23" fillId="0" borderId="0" xfId="276" applyFont="1" applyProtection="1"/>
    <xf numFmtId="164" fontId="5" fillId="0" borderId="0" xfId="276" applyNumberFormat="1" applyFont="1" applyAlignment="1" applyProtection="1">
      <alignment horizontal="left"/>
    </xf>
    <xf numFmtId="168" fontId="5" fillId="0" borderId="0" xfId="276" applyNumberFormat="1" applyFont="1" applyProtection="1"/>
    <xf numFmtId="10" fontId="5" fillId="0" borderId="0" xfId="276" applyNumberFormat="1" applyFont="1" applyAlignment="1" applyProtection="1">
      <alignment horizontal="right"/>
    </xf>
    <xf numFmtId="10" fontId="32" fillId="0" borderId="0" xfId="285" applyNumberFormat="1" applyFont="1" applyProtection="1"/>
    <xf numFmtId="3" fontId="23" fillId="0" borderId="0" xfId="276" applyNumberFormat="1" applyFont="1" applyProtection="1"/>
    <xf numFmtId="166" fontId="5" fillId="0" borderId="0" xfId="276" applyNumberFormat="1" applyFont="1" applyAlignment="1" applyProtection="1">
      <alignment horizontal="center"/>
    </xf>
    <xf numFmtId="185" fontId="23" fillId="0" borderId="0" xfId="276" applyNumberFormat="1" applyFont="1" applyAlignment="1" applyProtection="1">
      <alignment horizontal="center"/>
    </xf>
    <xf numFmtId="186" fontId="5" fillId="0" borderId="0" xfId="276" applyNumberFormat="1" applyFont="1" applyProtection="1"/>
    <xf numFmtId="178" fontId="5" fillId="0" borderId="0" xfId="276" applyNumberFormat="1" applyFont="1" applyAlignment="1" applyProtection="1">
      <alignment horizontal="right"/>
    </xf>
    <xf numFmtId="184" fontId="5" fillId="0" borderId="0" xfId="86" applyNumberFormat="1" applyFont="1" applyAlignment="1" applyProtection="1">
      <alignment horizontal="center"/>
    </xf>
    <xf numFmtId="41" fontId="23" fillId="0" borderId="0" xfId="276" applyNumberFormat="1" applyFont="1" applyProtection="1"/>
    <xf numFmtId="43" fontId="23" fillId="0" borderId="0" xfId="86" applyFont="1" applyAlignment="1" applyProtection="1"/>
    <xf numFmtId="178" fontId="5" fillId="0" borderId="0" xfId="276" applyNumberFormat="1" applyFont="1" applyAlignment="1" applyProtection="1">
      <alignment horizontal="center"/>
    </xf>
    <xf numFmtId="10" fontId="5" fillId="0" borderId="0" xfId="276" applyNumberFormat="1" applyFont="1" applyAlignment="1" applyProtection="1">
      <alignment horizontal="left"/>
    </xf>
    <xf numFmtId="185" fontId="5" fillId="0" borderId="0" xfId="276" applyNumberFormat="1" applyFont="1" applyAlignment="1" applyProtection="1">
      <alignment horizontal="center"/>
    </xf>
    <xf numFmtId="168" fontId="5" fillId="0" borderId="0" xfId="276" applyNumberFormat="1" applyFont="1" applyAlignment="1" applyProtection="1">
      <alignment horizontal="left"/>
    </xf>
    <xf numFmtId="41" fontId="5" fillId="0" borderId="11" xfId="276" applyNumberFormat="1" applyFont="1" applyBorder="1" applyProtection="1"/>
    <xf numFmtId="178" fontId="5" fillId="0" borderId="0" xfId="276" applyNumberFormat="1" applyFont="1" applyProtection="1"/>
    <xf numFmtId="164" fontId="5" fillId="0" borderId="0" xfId="276" applyNumberFormat="1" applyFont="1" applyAlignment="1" applyProtection="1">
      <alignment horizontal="left" vertical="center"/>
    </xf>
    <xf numFmtId="179" fontId="5" fillId="0" borderId="0" xfId="276" applyNumberFormat="1" applyFont="1" applyProtection="1"/>
    <xf numFmtId="173" fontId="5" fillId="0" borderId="14" xfId="86" applyNumberFormat="1" applyFont="1" applyBorder="1" applyAlignment="1" applyProtection="1"/>
    <xf numFmtId="0" fontId="6" fillId="0" borderId="0" xfId="276" applyNumberFormat="1" applyFont="1" applyProtection="1"/>
    <xf numFmtId="0" fontId="5" fillId="0" borderId="0" xfId="0" applyFont="1" applyAlignment="1">
      <alignment horizontal="left"/>
    </xf>
    <xf numFmtId="173" fontId="5" fillId="0" borderId="6" xfId="86" applyNumberFormat="1" applyFont="1" applyBorder="1" applyAlignment="1" applyProtection="1"/>
    <xf numFmtId="165" fontId="6" fillId="0" borderId="0" xfId="276" applyNumberFormat="1" applyFont="1" applyAlignment="1" applyProtection="1">
      <alignment horizontal="right"/>
    </xf>
    <xf numFmtId="3" fontId="5" fillId="0" borderId="0" xfId="276" applyNumberFormat="1" applyFont="1" applyAlignment="1" applyProtection="1">
      <alignment horizontal="center" wrapText="1"/>
    </xf>
    <xf numFmtId="4" fontId="5" fillId="0" borderId="0" xfId="276" applyNumberFormat="1" applyFont="1" applyProtection="1"/>
    <xf numFmtId="173" fontId="5" fillId="0" borderId="6" xfId="86" applyNumberFormat="1" applyFont="1" applyFill="1" applyBorder="1" applyAlignment="1" applyProtection="1"/>
    <xf numFmtId="172" fontId="6" fillId="0" borderId="0" xfId="276" applyFont="1" applyAlignment="1" applyProtection="1">
      <alignment horizontal="right"/>
    </xf>
    <xf numFmtId="165" fontId="6" fillId="0" borderId="0" xfId="276" applyNumberFormat="1" applyFont="1" applyProtection="1"/>
    <xf numFmtId="166" fontId="6" fillId="0" borderId="0" xfId="276" applyNumberFormat="1" applyFont="1" applyProtection="1"/>
    <xf numFmtId="3" fontId="5" fillId="0" borderId="6" xfId="276" applyNumberFormat="1" applyFont="1" applyBorder="1" applyAlignment="1" applyProtection="1">
      <alignment horizontal="center"/>
    </xf>
    <xf numFmtId="0" fontId="14" fillId="0" borderId="0" xfId="276" applyNumberFormat="1" applyFont="1" applyAlignment="1" applyProtection="1">
      <alignment horizontal="left"/>
    </xf>
    <xf numFmtId="180" fontId="5" fillId="0" borderId="0" xfId="86" applyNumberFormat="1" applyFont="1" applyFill="1" applyAlignment="1" applyProtection="1">
      <alignment horizontal="center"/>
    </xf>
    <xf numFmtId="180" fontId="5" fillId="0" borderId="6" xfId="86" applyNumberFormat="1" applyFont="1" applyFill="1" applyBorder="1" applyAlignment="1" applyProtection="1">
      <alignment horizontal="center"/>
    </xf>
    <xf numFmtId="184" fontId="5" fillId="0" borderId="0" xfId="86" applyNumberFormat="1" applyFont="1" applyFill="1" applyAlignment="1" applyProtection="1"/>
    <xf numFmtId="169" fontId="5" fillId="0" borderId="15" xfId="276" applyNumberFormat="1" applyFont="1" applyBorder="1" applyProtection="1"/>
    <xf numFmtId="169" fontId="5" fillId="0" borderId="0" xfId="276" applyNumberFormat="1" applyFont="1" applyProtection="1"/>
    <xf numFmtId="169" fontId="5" fillId="0" borderId="6" xfId="276" applyNumberFormat="1" applyFont="1" applyBorder="1" applyProtection="1"/>
    <xf numFmtId="180" fontId="22" fillId="0" borderId="0" xfId="86" applyNumberFormat="1" applyFont="1" applyFill="1" applyProtection="1"/>
    <xf numFmtId="169" fontId="6" fillId="0" borderId="0" xfId="276" applyNumberFormat="1" applyFont="1" applyProtection="1"/>
    <xf numFmtId="172" fontId="3" fillId="0" borderId="0" xfId="276" applyAlignment="1" applyProtection="1">
      <alignment horizontal="center"/>
    </xf>
    <xf numFmtId="0" fontId="26" fillId="0" borderId="0" xfId="276" applyNumberFormat="1" applyFont="1" applyProtection="1"/>
    <xf numFmtId="0" fontId="118" fillId="0" borderId="0" xfId="276" applyNumberFormat="1" applyFont="1" applyProtection="1"/>
    <xf numFmtId="172" fontId="26" fillId="0" borderId="0" xfId="276" applyFont="1" applyProtection="1"/>
    <xf numFmtId="0" fontId="26" fillId="0" borderId="0" xfId="0" applyFont="1" applyAlignment="1">
      <alignment vertical="top" wrapText="1"/>
    </xf>
    <xf numFmtId="172" fontId="26" fillId="0" borderId="0" xfId="276" applyFont="1" applyAlignment="1" applyProtection="1">
      <alignment wrapText="1"/>
    </xf>
    <xf numFmtId="172" fontId="118" fillId="0" borderId="0" xfId="276" applyFont="1" applyProtection="1"/>
    <xf numFmtId="0" fontId="3" fillId="0" borderId="0" xfId="276" applyNumberFormat="1" applyProtection="1"/>
    <xf numFmtId="0" fontId="87" fillId="0" borderId="0" xfId="276" applyNumberFormat="1" applyFont="1" applyAlignment="1" applyProtection="1">
      <alignment horizontal="center"/>
    </xf>
    <xf numFmtId="0" fontId="0" fillId="0" borderId="0" xfId="0" applyAlignment="1">
      <alignment wrapText="1"/>
    </xf>
    <xf numFmtId="0" fontId="17" fillId="0" borderId="0" xfId="0" applyFont="1" applyAlignment="1">
      <alignment horizontal="center"/>
    </xf>
    <xf numFmtId="174" fontId="0" fillId="0" borderId="0" xfId="86" applyNumberFormat="1" applyFont="1" applyFill="1" applyProtection="1"/>
    <xf numFmtId="173" fontId="0" fillId="0" borderId="13" xfId="0" applyNumberFormat="1" applyBorder="1"/>
    <xf numFmtId="43" fontId="0" fillId="0" borderId="0" xfId="0" applyNumberFormat="1"/>
    <xf numFmtId="0" fontId="3" fillId="0" borderId="0" xfId="0" applyFont="1"/>
    <xf numFmtId="0" fontId="3" fillId="0" borderId="0" xfId="280" applyFont="1"/>
    <xf numFmtId="0" fontId="10" fillId="0" borderId="0" xfId="280" applyFont="1" applyAlignment="1">
      <alignment horizontal="center"/>
    </xf>
    <xf numFmtId="0" fontId="5" fillId="0" borderId="0" xfId="280" applyFont="1"/>
    <xf numFmtId="0" fontId="82" fillId="0" borderId="0" xfId="280" applyFont="1"/>
    <xf numFmtId="0" fontId="6" fillId="0" borderId="0" xfId="280" applyFont="1"/>
    <xf numFmtId="0" fontId="26" fillId="0" borderId="0" xfId="280" applyFont="1" applyAlignment="1">
      <alignment horizontal="center"/>
    </xf>
    <xf numFmtId="0" fontId="9" fillId="0" borderId="0" xfId="280" applyFont="1" applyAlignment="1">
      <alignment horizontal="center"/>
    </xf>
    <xf numFmtId="0" fontId="9" fillId="0" borderId="0" xfId="280" applyFont="1"/>
    <xf numFmtId="0" fontId="12" fillId="0" borderId="0" xfId="280" applyFont="1"/>
    <xf numFmtId="173" fontId="12" fillId="0" borderId="0" xfId="280" applyNumberFormat="1" applyFont="1"/>
    <xf numFmtId="0" fontId="107" fillId="0" borderId="0" xfId="0" applyFont="1"/>
    <xf numFmtId="0" fontId="98" fillId="0" borderId="0" xfId="280" applyFont="1" applyAlignment="1">
      <alignment horizontal="center"/>
    </xf>
    <xf numFmtId="0" fontId="98" fillId="0" borderId="0" xfId="280" applyFont="1"/>
    <xf numFmtId="0" fontId="106" fillId="0" borderId="0" xfId="0" applyFont="1"/>
    <xf numFmtId="0" fontId="106" fillId="0" borderId="0" xfId="280" applyFont="1"/>
    <xf numFmtId="172" fontId="12" fillId="0" borderId="0" xfId="280" applyNumberFormat="1" applyFont="1" applyAlignment="1">
      <alignment horizontal="center"/>
    </xf>
    <xf numFmtId="43" fontId="12" fillId="0" borderId="0" xfId="123" applyFont="1" applyFill="1" applyProtection="1"/>
    <xf numFmtId="43" fontId="106" fillId="0" borderId="0" xfId="123" applyFont="1" applyFill="1" applyProtection="1"/>
    <xf numFmtId="173" fontId="12" fillId="0" borderId="13" xfId="0" applyNumberFormat="1" applyFont="1" applyBorder="1"/>
    <xf numFmtId="173" fontId="12" fillId="0" borderId="13" xfId="280" applyNumberFormat="1" applyFont="1" applyBorder="1"/>
    <xf numFmtId="0" fontId="12" fillId="0" borderId="0" xfId="0" applyFont="1" applyAlignment="1">
      <alignment vertical="top" wrapText="1"/>
    </xf>
    <xf numFmtId="0" fontId="6" fillId="0" borderId="0" xfId="0" applyFont="1" applyAlignment="1">
      <alignment horizontal="center"/>
    </xf>
    <xf numFmtId="173" fontId="6" fillId="0" borderId="0" xfId="0" applyNumberFormat="1" applyFont="1" applyAlignment="1">
      <alignment horizontal="center"/>
    </xf>
    <xf numFmtId="173" fontId="2" fillId="0" borderId="0" xfId="86" applyNumberFormat="1" applyProtection="1"/>
    <xf numFmtId="0" fontId="11" fillId="0" borderId="0" xfId="0" applyFont="1"/>
    <xf numFmtId="0" fontId="18" fillId="0" borderId="0" xfId="0" applyFont="1" applyAlignment="1">
      <alignment horizontal="right"/>
    </xf>
    <xf numFmtId="0" fontId="18" fillId="0" borderId="0" xfId="0" applyFont="1" applyAlignment="1">
      <alignment horizontal="left"/>
    </xf>
    <xf numFmtId="0" fontId="66" fillId="0" borderId="0" xfId="0" applyFont="1"/>
    <xf numFmtId="0" fontId="6" fillId="0" borderId="0" xfId="0" applyFont="1" applyAlignment="1">
      <alignment horizontal="left"/>
    </xf>
    <xf numFmtId="0" fontId="12" fillId="0" borderId="0" xfId="276" applyNumberFormat="1" applyFont="1" applyProtection="1"/>
    <xf numFmtId="3" fontId="12" fillId="0" borderId="0" xfId="276" applyNumberFormat="1" applyFont="1" applyProtection="1"/>
    <xf numFmtId="10" fontId="2" fillId="0" borderId="0" xfId="285" applyNumberFormat="1" applyAlignment="1" applyProtection="1">
      <alignment horizontal="right"/>
    </xf>
    <xf numFmtId="172" fontId="12" fillId="0" borderId="0" xfId="276" applyFont="1" applyProtection="1"/>
    <xf numFmtId="10" fontId="12" fillId="0" borderId="0" xfId="285" applyNumberFormat="1" applyFont="1" applyFill="1" applyAlignment="1" applyProtection="1">
      <alignment horizontal="right"/>
    </xf>
    <xf numFmtId="3" fontId="9" fillId="0" borderId="0" xfId="276" applyNumberFormat="1" applyFont="1" applyProtection="1"/>
    <xf numFmtId="10" fontId="12" fillId="0" borderId="0" xfId="276" applyNumberFormat="1" applyFont="1" applyAlignment="1" applyProtection="1">
      <alignment horizontal="right"/>
    </xf>
    <xf numFmtId="3" fontId="13" fillId="0" borderId="0" xfId="276" applyNumberFormat="1" applyFont="1" applyAlignment="1" applyProtection="1">
      <alignment horizontal="center"/>
    </xf>
    <xf numFmtId="10" fontId="13" fillId="0" borderId="0" xfId="276" applyNumberFormat="1" applyFont="1" applyAlignment="1" applyProtection="1">
      <alignment horizontal="center"/>
    </xf>
    <xf numFmtId="0" fontId="12" fillId="0" borderId="0" xfId="276" applyNumberFormat="1" applyFont="1" applyAlignment="1" applyProtection="1">
      <alignment horizontal="right"/>
    </xf>
    <xf numFmtId="10" fontId="0" fillId="0" borderId="0" xfId="0" applyNumberFormat="1" applyAlignment="1">
      <alignment horizontal="center"/>
    </xf>
    <xf numFmtId="164" fontId="12" fillId="0" borderId="0" xfId="285" applyNumberFormat="1" applyFont="1" applyAlignment="1" applyProtection="1"/>
    <xf numFmtId="166" fontId="12" fillId="0" borderId="0" xfId="276" applyNumberFormat="1" applyFont="1" applyAlignment="1" applyProtection="1">
      <alignment horizontal="center"/>
    </xf>
    <xf numFmtId="41" fontId="12" fillId="0" borderId="0" xfId="276" applyNumberFormat="1" applyFont="1" applyProtection="1"/>
    <xf numFmtId="41" fontId="12" fillId="0" borderId="0" xfId="276" applyNumberFormat="1" applyFont="1" applyAlignment="1" applyProtection="1">
      <alignment horizontal="center"/>
    </xf>
    <xf numFmtId="164" fontId="13" fillId="0" borderId="0" xfId="285" applyNumberFormat="1" applyFont="1" applyAlignment="1" applyProtection="1"/>
    <xf numFmtId="3" fontId="12" fillId="0" borderId="0" xfId="276" applyNumberFormat="1" applyFont="1" applyAlignment="1" applyProtection="1">
      <alignment horizontal="right"/>
    </xf>
    <xf numFmtId="172" fontId="2" fillId="0" borderId="17" xfId="276" applyFont="1" applyBorder="1" applyProtection="1"/>
    <xf numFmtId="0" fontId="2" fillId="0" borderId="0" xfId="276" applyNumberFormat="1" applyFont="1" applyAlignment="1" applyProtection="1">
      <alignment horizontal="center"/>
    </xf>
    <xf numFmtId="172" fontId="2" fillId="0" borderId="0" xfId="276" applyFont="1" applyProtection="1"/>
    <xf numFmtId="3" fontId="2" fillId="0" borderId="18" xfId="276" applyNumberFormat="1" applyFont="1" applyBorder="1" applyProtection="1"/>
    <xf numFmtId="10" fontId="12" fillId="0" borderId="0" xfId="276" applyNumberFormat="1" applyFont="1" applyAlignment="1" applyProtection="1">
      <alignment horizontal="left"/>
    </xf>
    <xf numFmtId="0" fontId="2" fillId="0" borderId="17" xfId="0" applyFont="1" applyBorder="1"/>
    <xf numFmtId="0" fontId="2" fillId="0" borderId="18" xfId="0" applyFont="1" applyBorder="1"/>
    <xf numFmtId="166" fontId="2" fillId="0" borderId="19" xfId="276" applyNumberFormat="1" applyFont="1" applyBorder="1" applyAlignment="1" applyProtection="1">
      <alignment horizontal="center"/>
    </xf>
    <xf numFmtId="0" fontId="2" fillId="0" borderId="6" xfId="276" applyNumberFormat="1" applyFont="1" applyBorder="1" applyAlignment="1" applyProtection="1">
      <alignment horizontal="center"/>
    </xf>
    <xf numFmtId="174" fontId="2" fillId="0" borderId="20" xfId="0" applyNumberFormat="1" applyFont="1" applyBorder="1"/>
    <xf numFmtId="41" fontId="2" fillId="0" borderId="0" xfId="276" applyNumberFormat="1" applyFont="1" applyProtection="1"/>
    <xf numFmtId="0" fontId="12" fillId="31" borderId="0" xfId="276" applyNumberFormat="1" applyFont="1" applyFill="1" applyProtection="1"/>
    <xf numFmtId="41" fontId="12" fillId="0" borderId="0" xfId="276" applyNumberFormat="1" applyFont="1" applyAlignment="1" applyProtection="1">
      <alignment horizontal="left"/>
    </xf>
    <xf numFmtId="41" fontId="2" fillId="0" borderId="0" xfId="276" applyNumberFormat="1" applyFont="1" applyAlignment="1" applyProtection="1">
      <alignment horizontal="right"/>
    </xf>
    <xf numFmtId="167" fontId="12" fillId="0" borderId="0" xfId="276" applyNumberFormat="1" applyFont="1" applyProtection="1"/>
    <xf numFmtId="164" fontId="12" fillId="0" borderId="0" xfId="276" applyNumberFormat="1" applyFont="1" applyAlignment="1" applyProtection="1">
      <alignment horizontal="left"/>
    </xf>
    <xf numFmtId="3" fontId="12" fillId="0" borderId="0" xfId="276" applyNumberFormat="1" applyFont="1" applyAlignment="1" applyProtection="1">
      <alignment vertical="center" wrapText="1"/>
    </xf>
    <xf numFmtId="41" fontId="12" fillId="0" borderId="0" xfId="276" applyNumberFormat="1" applyFont="1" applyAlignment="1" applyProtection="1">
      <alignment vertical="center"/>
    </xf>
    <xf numFmtId="41" fontId="12" fillId="0" borderId="0" xfId="276" applyNumberFormat="1" applyFont="1" applyAlignment="1" applyProtection="1">
      <alignment horizontal="center" vertical="center"/>
    </xf>
    <xf numFmtId="41" fontId="12" fillId="0" borderId="0" xfId="276" applyNumberFormat="1" applyFont="1" applyAlignment="1" applyProtection="1">
      <alignment horizontal="right"/>
    </xf>
    <xf numFmtId="10" fontId="12" fillId="0" borderId="0" xfId="0" applyNumberFormat="1" applyFont="1"/>
    <xf numFmtId="173" fontId="12" fillId="0" borderId="0" xfId="86" applyNumberFormat="1" applyFont="1" applyProtection="1"/>
    <xf numFmtId="41" fontId="12" fillId="0" borderId="0" xfId="0" applyNumberFormat="1" applyFont="1"/>
    <xf numFmtId="41" fontId="12" fillId="0" borderId="11" xfId="276" applyNumberFormat="1" applyFont="1" applyBorder="1" applyProtection="1"/>
    <xf numFmtId="41" fontId="13" fillId="0" borderId="0" xfId="276" applyNumberFormat="1" applyFont="1" applyProtection="1"/>
    <xf numFmtId="3" fontId="12" fillId="0" borderId="0" xfId="276" applyNumberFormat="1" applyFont="1" applyAlignment="1" applyProtection="1">
      <alignment horizontal="center"/>
    </xf>
    <xf numFmtId="0" fontId="12" fillId="0" borderId="0" xfId="276" applyNumberFormat="1" applyFont="1" applyAlignment="1" applyProtection="1">
      <alignment horizontal="center"/>
    </xf>
    <xf numFmtId="10" fontId="12" fillId="0" borderId="0" xfId="276" applyNumberFormat="1" applyFont="1" applyProtection="1"/>
    <xf numFmtId="169" fontId="12" fillId="0" borderId="0" xfId="276" applyNumberFormat="1" applyFont="1" applyProtection="1"/>
    <xf numFmtId="169" fontId="9" fillId="0" borderId="0" xfId="276" applyNumberFormat="1" applyFont="1" applyProtection="1"/>
    <xf numFmtId="173" fontId="12" fillId="0" borderId="0" xfId="86" applyNumberFormat="1" applyFont="1" applyFill="1" applyBorder="1" applyProtection="1"/>
    <xf numFmtId="41" fontId="13" fillId="0" borderId="0" xfId="0" applyNumberFormat="1" applyFont="1"/>
    <xf numFmtId="180" fontId="12" fillId="0" borderId="0" xfId="86" applyNumberFormat="1" applyFont="1" applyProtection="1"/>
    <xf numFmtId="10" fontId="13" fillId="0" borderId="0" xfId="0" applyNumberFormat="1" applyFont="1"/>
    <xf numFmtId="0" fontId="12" fillId="31" borderId="0" xfId="0" applyFont="1" applyFill="1"/>
    <xf numFmtId="173" fontId="12" fillId="0" borderId="0" xfId="86" applyNumberFormat="1" applyFont="1" applyFill="1" applyProtection="1"/>
    <xf numFmtId="173" fontId="12" fillId="0" borderId="0" xfId="86" applyNumberFormat="1" applyFont="1" applyBorder="1" applyProtection="1"/>
    <xf numFmtId="43" fontId="12" fillId="0" borderId="0" xfId="86" applyFont="1" applyProtection="1"/>
    <xf numFmtId="173" fontId="12" fillId="0" borderId="0" xfId="0" applyNumberFormat="1" applyFont="1"/>
    <xf numFmtId="0" fontId="68" fillId="0" borderId="0" xfId="0" applyFont="1"/>
    <xf numFmtId="174" fontId="12" fillId="0" borderId="0" xfId="0" applyNumberFormat="1" applyFont="1"/>
    <xf numFmtId="0" fontId="6" fillId="0" borderId="0" xfId="0" applyFont="1"/>
    <xf numFmtId="0" fontId="9" fillId="0" borderId="21" xfId="0" applyFont="1" applyBorder="1"/>
    <xf numFmtId="0" fontId="9" fillId="0" borderId="15" xfId="0" applyFont="1" applyBorder="1"/>
    <xf numFmtId="0" fontId="12" fillId="0" borderId="15" xfId="0" applyFont="1" applyBorder="1"/>
    <xf numFmtId="0" fontId="5" fillId="0" borderId="0" xfId="86" applyNumberFormat="1" applyFont="1" applyFill="1" applyAlignment="1" applyProtection="1">
      <alignment horizontal="left"/>
    </xf>
    <xf numFmtId="0" fontId="5" fillId="0" borderId="0" xfId="86" applyNumberFormat="1" applyFont="1" applyFill="1" applyBorder="1" applyAlignment="1" applyProtection="1">
      <alignment horizontal="left"/>
    </xf>
    <xf numFmtId="0" fontId="9" fillId="0" borderId="17" xfId="0" applyFont="1" applyBorder="1"/>
    <xf numFmtId="0" fontId="9" fillId="0" borderId="0" xfId="0" applyFont="1"/>
    <xf numFmtId="173" fontId="12" fillId="0" borderId="20" xfId="86"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2" xfId="0" applyFont="1" applyBorder="1" applyAlignment="1">
      <alignment horizontal="center"/>
    </xf>
    <xf numFmtId="0" fontId="0" fillId="0" borderId="23" xfId="0" applyBorder="1"/>
    <xf numFmtId="0" fontId="0" fillId="0" borderId="24" xfId="0" applyBorder="1"/>
    <xf numFmtId="0" fontId="12" fillId="0" borderId="17" xfId="0" applyFont="1" applyBorder="1"/>
    <xf numFmtId="0" fontId="9" fillId="0" borderId="25" xfId="0" applyFont="1" applyBorder="1" applyAlignment="1">
      <alignment horizontal="center"/>
    </xf>
    <xf numFmtId="173" fontId="12" fillId="0" borderId="0" xfId="0" applyNumberFormat="1" applyFont="1" applyAlignment="1">
      <alignment horizontal="right"/>
    </xf>
    <xf numFmtId="10" fontId="12" fillId="0" borderId="18" xfId="0" applyNumberFormat="1" applyFont="1" applyBorder="1"/>
    <xf numFmtId="173" fontId="12" fillId="0" borderId="18" xfId="0" applyNumberFormat="1" applyFont="1" applyBorder="1" applyAlignment="1">
      <alignment horizontal="right"/>
    </xf>
    <xf numFmtId="0" fontId="12" fillId="0" borderId="19" xfId="0" applyFont="1" applyBorder="1"/>
    <xf numFmtId="0" fontId="12" fillId="0" borderId="6" xfId="0" applyFont="1" applyBorder="1" applyAlignment="1">
      <alignment horizontal="center"/>
    </xf>
    <xf numFmtId="0" fontId="0" fillId="0" borderId="6" xfId="0" applyBorder="1"/>
    <xf numFmtId="0" fontId="9" fillId="0" borderId="26" xfId="0" applyFont="1" applyBorder="1" applyAlignment="1">
      <alignment horizontal="center" wrapText="1"/>
    </xf>
    <xf numFmtId="173" fontId="9" fillId="0" borderId="0" xfId="86" applyNumberFormat="1" applyFont="1" applyBorder="1" applyAlignment="1" applyProtection="1">
      <alignment horizontal="center" wrapText="1"/>
    </xf>
    <xf numFmtId="173" fontId="9" fillId="0" borderId="26" xfId="86" applyNumberFormat="1" applyFont="1" applyBorder="1" applyAlignment="1" applyProtection="1">
      <alignment horizontal="center" wrapText="1"/>
    </xf>
    <xf numFmtId="173" fontId="9" fillId="0" borderId="25" xfId="86" applyNumberFormat="1" applyFont="1" applyBorder="1" applyAlignment="1" applyProtection="1">
      <alignment horizontal="center" wrapText="1"/>
    </xf>
    <xf numFmtId="0" fontId="9" fillId="0" borderId="27" xfId="0" applyFont="1" applyBorder="1" applyAlignment="1">
      <alignment horizontal="center" wrapText="1"/>
    </xf>
    <xf numFmtId="0" fontId="9" fillId="0" borderId="0" xfId="0" applyFont="1" applyAlignment="1">
      <alignment horizontal="center" wrapText="1"/>
    </xf>
    <xf numFmtId="0" fontId="9" fillId="0" borderId="28" xfId="0" applyFont="1" applyBorder="1" applyAlignment="1">
      <alignment horizontal="center"/>
    </xf>
    <xf numFmtId="0" fontId="9" fillId="0" borderId="6" xfId="0" applyFont="1" applyBorder="1" applyAlignment="1">
      <alignment horizontal="center"/>
    </xf>
    <xf numFmtId="173" fontId="9" fillId="0" borderId="28" xfId="86" applyNumberFormat="1" applyFont="1" applyBorder="1" applyAlignment="1" applyProtection="1">
      <alignment horizontal="center"/>
    </xf>
    <xf numFmtId="173" fontId="9" fillId="0" borderId="20" xfId="86" applyNumberFormat="1" applyFont="1" applyBorder="1" applyAlignment="1" applyProtection="1">
      <alignment horizontal="center"/>
    </xf>
    <xf numFmtId="0" fontId="9" fillId="0" borderId="27" xfId="0" applyFont="1" applyBorder="1" applyAlignment="1">
      <alignment horizontal="center"/>
    </xf>
    <xf numFmtId="0" fontId="12" fillId="0" borderId="27" xfId="0" applyFont="1" applyBorder="1" applyAlignment="1">
      <alignment horizontal="center"/>
    </xf>
    <xf numFmtId="173" fontId="12" fillId="0" borderId="27" xfId="86" applyNumberFormat="1" applyFont="1" applyBorder="1" applyProtection="1"/>
    <xf numFmtId="173" fontId="12" fillId="0" borderId="27" xfId="86" applyNumberFormat="1" applyFont="1" applyFill="1" applyBorder="1" applyProtection="1"/>
    <xf numFmtId="173" fontId="12" fillId="0" borderId="18" xfId="86" applyNumberFormat="1" applyFont="1" applyFill="1" applyBorder="1" applyProtection="1"/>
    <xf numFmtId="174" fontId="12" fillId="0" borderId="27" xfId="0" applyNumberFormat="1" applyFont="1" applyBorder="1"/>
    <xf numFmtId="174" fontId="8" fillId="29" borderId="26" xfId="0" applyNumberFormat="1" applyFont="1" applyFill="1" applyBorder="1"/>
    <xf numFmtId="174" fontId="12" fillId="28" borderId="26" xfId="0" applyNumberFormat="1" applyFont="1" applyFill="1" applyBorder="1"/>
    <xf numFmtId="173" fontId="12" fillId="0" borderId="27" xfId="0" applyNumberFormat="1" applyFont="1" applyBorder="1"/>
    <xf numFmtId="173" fontId="12" fillId="0" borderId="18" xfId="86" applyNumberFormat="1" applyFont="1" applyBorder="1" applyProtection="1"/>
    <xf numFmtId="174" fontId="8" fillId="29" borderId="27" xfId="0" applyNumberFormat="1" applyFont="1" applyFill="1" applyBorder="1"/>
    <xf numFmtId="174" fontId="12" fillId="28" borderId="27" xfId="0" applyNumberFormat="1" applyFont="1" applyFill="1" applyBorder="1"/>
    <xf numFmtId="174" fontId="12" fillId="28" borderId="27" xfId="0" applyNumberFormat="1" applyFont="1" applyFill="1" applyBorder="1" applyAlignment="1">
      <alignment wrapText="1"/>
    </xf>
    <xf numFmtId="0" fontId="12" fillId="0" borderId="28" xfId="0" applyFont="1" applyBorder="1" applyAlignment="1">
      <alignment horizontal="center"/>
    </xf>
    <xf numFmtId="173" fontId="12" fillId="0" borderId="6" xfId="0" applyNumberFormat="1" applyFont="1" applyBorder="1"/>
    <xf numFmtId="173" fontId="12" fillId="0" borderId="28" xfId="0" applyNumberFormat="1" applyFont="1" applyBorder="1"/>
    <xf numFmtId="173" fontId="12" fillId="0" borderId="28" xfId="86" applyNumberFormat="1" applyFont="1" applyBorder="1" applyProtection="1"/>
    <xf numFmtId="174" fontId="12" fillId="0" borderId="28" xfId="0" applyNumberFormat="1" applyFont="1" applyBorder="1"/>
    <xf numFmtId="174" fontId="8" fillId="29" borderId="28" xfId="0" applyNumberFormat="1" applyFont="1" applyFill="1" applyBorder="1"/>
    <xf numFmtId="174" fontId="12" fillId="28" borderId="28" xfId="0" applyNumberFormat="1" applyFont="1" applyFill="1" applyBorder="1"/>
    <xf numFmtId="0" fontId="0" fillId="33" borderId="0" xfId="0" applyFill="1"/>
    <xf numFmtId="10" fontId="0" fillId="0" borderId="0" xfId="285" applyNumberFormat="1" applyFont="1" applyAlignment="1" applyProtection="1">
      <alignment horizontal="right"/>
    </xf>
    <xf numFmtId="172" fontId="12" fillId="0" borderId="21" xfId="276" applyFont="1" applyBorder="1" applyProtection="1"/>
    <xf numFmtId="172" fontId="12" fillId="0" borderId="15" xfId="276" applyFont="1" applyBorder="1" applyProtection="1"/>
    <xf numFmtId="3" fontId="12" fillId="0" borderId="25" xfId="276" applyNumberFormat="1" applyFont="1" applyBorder="1" applyProtection="1"/>
    <xf numFmtId="172" fontId="12" fillId="0" borderId="17" xfId="276" applyFont="1" applyBorder="1" applyProtection="1"/>
    <xf numFmtId="3" fontId="12" fillId="0" borderId="18" xfId="276" applyNumberFormat="1" applyFont="1" applyBorder="1" applyProtection="1"/>
    <xf numFmtId="0" fontId="12" fillId="0" borderId="0" xfId="276" quotePrefix="1" applyNumberFormat="1" applyFont="1" applyAlignment="1" applyProtection="1">
      <alignment horizontal="center"/>
    </xf>
    <xf numFmtId="0" fontId="12" fillId="0" borderId="18" xfId="0" applyFont="1" applyBorder="1"/>
    <xf numFmtId="10" fontId="32" fillId="0" borderId="0" xfId="0" applyNumberFormat="1" applyFont="1" applyAlignment="1">
      <alignment horizontal="center"/>
    </xf>
    <xf numFmtId="0" fontId="12" fillId="0" borderId="0" xfId="0" applyFont="1" applyAlignment="1">
      <alignment horizontal="right"/>
    </xf>
    <xf numFmtId="174" fontId="12" fillId="0" borderId="18" xfId="0" applyNumberFormat="1" applyFont="1" applyBorder="1"/>
    <xf numFmtId="174" fontId="12" fillId="0" borderId="20" xfId="0" applyNumberFormat="1" applyFont="1" applyBorder="1"/>
    <xf numFmtId="173" fontId="12" fillId="0" borderId="25" xfId="0" applyNumberFormat="1" applyFont="1" applyBorder="1"/>
    <xf numFmtId="166" fontId="12" fillId="0" borderId="19" xfId="276" applyNumberFormat="1" applyFont="1" applyBorder="1" applyAlignment="1" applyProtection="1">
      <alignment horizontal="center"/>
    </xf>
    <xf numFmtId="0" fontId="12" fillId="0" borderId="6" xfId="276" applyNumberFormat="1" applyFont="1" applyBorder="1" applyAlignment="1" applyProtection="1">
      <alignment horizontal="center"/>
    </xf>
    <xf numFmtId="173" fontId="12" fillId="0" borderId="6" xfId="276" quotePrefix="1" applyNumberFormat="1" applyFont="1" applyBorder="1" applyAlignment="1" applyProtection="1">
      <alignment horizontal="center"/>
    </xf>
    <xf numFmtId="10" fontId="12" fillId="0" borderId="0" xfId="285" applyNumberFormat="1" applyFont="1" applyFill="1" applyBorder="1" applyAlignment="1" applyProtection="1"/>
    <xf numFmtId="0" fontId="125" fillId="27" borderId="0" xfId="0" applyFont="1" applyFill="1"/>
    <xf numFmtId="0" fontId="9" fillId="0" borderId="21" xfId="0" applyFont="1" applyBorder="1" applyAlignment="1">
      <alignment horizontal="center"/>
    </xf>
    <xf numFmtId="173" fontId="12" fillId="0" borderId="17" xfId="86" applyNumberFormat="1" applyFont="1" applyBorder="1" applyProtection="1"/>
    <xf numFmtId="173" fontId="9" fillId="0" borderId="0" xfId="86" applyNumberFormat="1" applyFont="1" applyBorder="1" applyProtection="1"/>
    <xf numFmtId="173" fontId="12" fillId="0" borderId="18" xfId="0" applyNumberFormat="1" applyFont="1" applyBorder="1"/>
    <xf numFmtId="173" fontId="9" fillId="0" borderId="11" xfId="86" applyNumberFormat="1" applyFont="1" applyBorder="1" applyProtection="1"/>
    <xf numFmtId="173" fontId="12" fillId="0" borderId="29" xfId="0" applyNumberFormat="1" applyFont="1" applyBorder="1"/>
    <xf numFmtId="173" fontId="9" fillId="0" borderId="6" xfId="86" applyNumberFormat="1" applyFont="1" applyFill="1" applyBorder="1" applyAlignment="1" applyProtection="1">
      <alignment horizontal="left"/>
    </xf>
    <xf numFmtId="173" fontId="9" fillId="0" borderId="20" xfId="86" applyNumberFormat="1" applyFont="1" applyFill="1" applyBorder="1" applyAlignment="1" applyProtection="1">
      <alignment horizontal="left"/>
    </xf>
    <xf numFmtId="173" fontId="12" fillId="0" borderId="26" xfId="0" applyNumberFormat="1" applyFont="1" applyBorder="1"/>
    <xf numFmtId="174" fontId="12" fillId="0" borderId="26" xfId="0" applyNumberFormat="1" applyFont="1" applyBorder="1"/>
    <xf numFmtId="0" fontId="9" fillId="0" borderId="0" xfId="276" applyNumberFormat="1" applyFont="1" applyAlignment="1" applyProtection="1">
      <alignment vertical="center"/>
    </xf>
    <xf numFmtId="0" fontId="105" fillId="0" borderId="0" xfId="0" applyFont="1"/>
    <xf numFmtId="0" fontId="9" fillId="0" borderId="0" xfId="276" applyNumberFormat="1" applyFont="1" applyAlignment="1" applyProtection="1">
      <alignment vertical="top"/>
    </xf>
    <xf numFmtId="0" fontId="22" fillId="0" borderId="0" xfId="0" applyFont="1"/>
    <xf numFmtId="0" fontId="122" fillId="0" borderId="0" xfId="0" applyFont="1" applyAlignment="1">
      <alignment horizontal="left"/>
    </xf>
    <xf numFmtId="0" fontId="122" fillId="0" borderId="0" xfId="0" applyFont="1"/>
    <xf numFmtId="0" fontId="122" fillId="0" borderId="26" xfId="0" applyFont="1" applyBorder="1" applyAlignment="1">
      <alignment horizontal="center" wrapText="1"/>
    </xf>
    <xf numFmtId="0" fontId="122" fillId="0" borderId="27" xfId="0" applyFont="1" applyBorder="1" applyAlignment="1">
      <alignment horizontal="center" wrapText="1"/>
    </xf>
    <xf numFmtId="0" fontId="122" fillId="0" borderId="27" xfId="0" applyFont="1" applyBorder="1"/>
    <xf numFmtId="170" fontId="123" fillId="0" borderId="0" xfId="0" applyNumberFormat="1" applyFont="1" applyAlignment="1">
      <alignment horizontal="right"/>
    </xf>
    <xf numFmtId="170" fontId="122" fillId="0" borderId="0" xfId="0" applyNumberFormat="1" applyFont="1" applyAlignment="1">
      <alignment horizontal="center"/>
    </xf>
    <xf numFmtId="170" fontId="122" fillId="0" borderId="0" xfId="0" applyNumberFormat="1" applyFont="1"/>
    <xf numFmtId="170" fontId="123" fillId="0" borderId="0" xfId="0" applyNumberFormat="1" applyFont="1" applyAlignment="1">
      <alignment horizontal="center"/>
    </xf>
    <xf numFmtId="170" fontId="5" fillId="0" borderId="0" xfId="0" applyNumberFormat="1" applyFont="1"/>
    <xf numFmtId="5" fontId="122" fillId="0" borderId="28"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5"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5" fontId="122" fillId="0" borderId="0" xfId="288"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90" applyNumberFormat="1" applyFont="1" applyFill="1" applyProtection="1"/>
    <xf numFmtId="175" fontId="122" fillId="0" borderId="0" xfId="0" applyNumberFormat="1" applyFont="1"/>
    <xf numFmtId="173" fontId="122" fillId="0" borderId="11" xfId="90" applyNumberFormat="1" applyFont="1" applyFill="1" applyBorder="1" applyProtection="1"/>
    <xf numFmtId="173" fontId="123" fillId="0" borderId="0" xfId="90" applyNumberFormat="1" applyFont="1" applyFill="1" applyProtection="1"/>
    <xf numFmtId="173" fontId="123" fillId="0" borderId="0" xfId="90" applyNumberFormat="1" applyFont="1" applyFill="1" applyAlignment="1" applyProtection="1">
      <alignment horizontal="center"/>
    </xf>
    <xf numFmtId="0" fontId="124" fillId="0" borderId="0" xfId="0" applyFont="1"/>
    <xf numFmtId="194" fontId="5" fillId="0" borderId="0" xfId="0" applyNumberFormat="1" applyFont="1"/>
    <xf numFmtId="173" fontId="5" fillId="0" borderId="0" xfId="90" applyNumberFormat="1" applyFont="1" applyFill="1" applyProtection="1"/>
    <xf numFmtId="173" fontId="5" fillId="0" borderId="0" xfId="125" applyNumberFormat="1" applyFont="1" applyFill="1" applyProtection="1"/>
    <xf numFmtId="0" fontId="0" fillId="0" borderId="0" xfId="0" applyAlignment="1">
      <alignment horizontal="left"/>
    </xf>
    <xf numFmtId="0" fontId="19" fillId="34" borderId="0" xfId="86" applyNumberFormat="1" applyFont="1" applyFill="1" applyAlignment="1" applyProtection="1">
      <protection locked="0"/>
    </xf>
    <xf numFmtId="41" fontId="19" fillId="34" borderId="0" xfId="276" applyNumberFormat="1" applyFont="1" applyFill="1" applyProtection="1">
      <protection locked="0"/>
    </xf>
    <xf numFmtId="41" fontId="19" fillId="34" borderId="6" xfId="276" applyNumberFormat="1" applyFont="1" applyFill="1" applyBorder="1" applyProtection="1">
      <protection locked="0"/>
    </xf>
    <xf numFmtId="173" fontId="8" fillId="34" borderId="0" xfId="91" applyNumberFormat="1" applyFont="1" applyFill="1" applyBorder="1" applyAlignment="1" applyProtection="1">
      <alignment horizontal="right"/>
      <protection locked="0"/>
    </xf>
    <xf numFmtId="0" fontId="32" fillId="34" borderId="0" xfId="224" applyFont="1" applyFill="1" applyProtection="1">
      <protection locked="0"/>
    </xf>
    <xf numFmtId="173" fontId="8" fillId="34" borderId="11" xfId="91" applyNumberFormat="1" applyFont="1" applyFill="1" applyBorder="1" applyAlignment="1" applyProtection="1">
      <alignment horizontal="right"/>
      <protection locked="0"/>
    </xf>
    <xf numFmtId="41" fontId="8" fillId="34" borderId="0" xfId="268" applyNumberFormat="1" applyFont="1" applyFill="1" applyProtection="1">
      <protection locked="0"/>
    </xf>
    <xf numFmtId="37" fontId="8" fillId="34" borderId="0" xfId="0" applyNumberFormat="1" applyFont="1" applyFill="1" applyProtection="1">
      <protection locked="0"/>
    </xf>
    <xf numFmtId="3" fontId="126" fillId="34" borderId="0" xfId="0" applyNumberFormat="1" applyFont="1" applyFill="1" applyProtection="1">
      <protection locked="0"/>
    </xf>
    <xf numFmtId="37" fontId="126" fillId="34" borderId="0" xfId="0" applyNumberFormat="1" applyFont="1" applyFill="1" applyProtection="1">
      <protection locked="0"/>
    </xf>
    <xf numFmtId="1" fontId="63" fillId="34" borderId="0" xfId="0" applyNumberFormat="1" applyFont="1" applyFill="1" applyAlignment="1" applyProtection="1">
      <alignment horizontal="left"/>
      <protection locked="0"/>
    </xf>
    <xf numFmtId="38" fontId="63" fillId="0" borderId="15" xfId="0" applyNumberFormat="1" applyFont="1" applyBorder="1"/>
    <xf numFmtId="173" fontId="8" fillId="0" borderId="0" xfId="86" applyNumberFormat="1" applyFont="1" applyFill="1" applyProtection="1"/>
    <xf numFmtId="173" fontId="0" fillId="0" borderId="11" xfId="0" applyNumberFormat="1" applyBorder="1"/>
    <xf numFmtId="173" fontId="8" fillId="34" borderId="0" xfId="123" applyNumberFormat="1" applyFont="1" applyFill="1" applyProtection="1">
      <protection locked="0"/>
    </xf>
    <xf numFmtId="0" fontId="19" fillId="34" borderId="0" xfId="268" applyFont="1" applyFill="1" applyAlignment="1" applyProtection="1">
      <alignment horizontal="center"/>
      <protection locked="0"/>
    </xf>
    <xf numFmtId="3" fontId="19" fillId="34" borderId="0" xfId="0" applyNumberFormat="1" applyFont="1" applyFill="1" applyProtection="1">
      <protection locked="0"/>
    </xf>
    <xf numFmtId="41" fontId="19" fillId="34" borderId="0" xfId="268" applyNumberFormat="1" applyFont="1" applyFill="1" applyProtection="1">
      <protection locked="0"/>
    </xf>
    <xf numFmtId="41" fontId="78" fillId="34" borderId="11" xfId="277" applyNumberFormat="1" applyFont="1" applyFill="1" applyBorder="1" applyProtection="1">
      <protection locked="0"/>
    </xf>
    <xf numFmtId="173" fontId="78" fillId="34" borderId="0" xfId="277" applyNumberFormat="1" applyFont="1" applyFill="1" applyProtection="1">
      <protection locked="0"/>
    </xf>
    <xf numFmtId="0" fontId="71" fillId="34" borderId="0" xfId="277" applyFont="1" applyFill="1" applyAlignment="1" applyProtection="1">
      <alignment horizontal="center"/>
      <protection locked="0"/>
    </xf>
    <xf numFmtId="0" fontId="8" fillId="34" borderId="0" xfId="86" applyNumberFormat="1" applyFont="1" applyFill="1" applyAlignment="1" applyProtection="1">
      <protection locked="0"/>
    </xf>
    <xf numFmtId="173" fontId="2" fillId="34" borderId="6" xfId="276" applyNumberFormat="1" applyFont="1" applyFill="1" applyBorder="1" applyAlignment="1" applyProtection="1">
      <alignment horizontal="center"/>
      <protection locked="0"/>
    </xf>
    <xf numFmtId="0" fontId="19" fillId="34" borderId="0" xfId="86" applyNumberFormat="1" applyFont="1" applyFill="1" applyAlignment="1" applyProtection="1">
      <alignment horizontal="left"/>
      <protection locked="0"/>
    </xf>
    <xf numFmtId="173" fontId="162" fillId="34" borderId="18" xfId="86" applyNumberFormat="1" applyFont="1" applyFill="1" applyBorder="1" applyAlignment="1" applyProtection="1">
      <alignment horizontal="right"/>
      <protection locked="0"/>
    </xf>
    <xf numFmtId="0" fontId="162" fillId="34" borderId="18" xfId="0" applyFont="1" applyFill="1" applyBorder="1" applyAlignment="1" applyProtection="1">
      <alignment horizontal="right"/>
      <protection locked="0"/>
    </xf>
    <xf numFmtId="173" fontId="8" fillId="34" borderId="18" xfId="86" applyNumberFormat="1" applyFont="1" applyFill="1" applyBorder="1" applyAlignment="1" applyProtection="1">
      <alignment horizontal="right"/>
      <protection locked="0"/>
    </xf>
    <xf numFmtId="0" fontId="8" fillId="34" borderId="20" xfId="0" applyFont="1" applyFill="1" applyBorder="1" applyAlignment="1" applyProtection="1">
      <alignment horizontal="right"/>
      <protection locked="0"/>
    </xf>
    <xf numFmtId="173" fontId="8" fillId="34" borderId="18" xfId="0" applyNumberFormat="1" applyFont="1" applyFill="1" applyBorder="1" applyAlignment="1" applyProtection="1">
      <alignment horizontal="right"/>
      <protection locked="0"/>
    </xf>
    <xf numFmtId="174" fontId="8" fillId="34" borderId="26" xfId="0" applyNumberFormat="1" applyFont="1" applyFill="1" applyBorder="1" applyProtection="1">
      <protection locked="0"/>
    </xf>
    <xf numFmtId="174" fontId="8" fillId="34" borderId="27" xfId="0" applyNumberFormat="1" applyFont="1" applyFill="1" applyBorder="1" applyProtection="1">
      <protection locked="0"/>
    </xf>
    <xf numFmtId="174" fontId="8" fillId="34" borderId="28" xfId="0" applyNumberFormat="1" applyFont="1" applyFill="1" applyBorder="1" applyProtection="1">
      <protection locked="0"/>
    </xf>
    <xf numFmtId="174" fontId="12" fillId="34" borderId="0" xfId="0" applyNumberFormat="1" applyFont="1" applyFill="1" applyProtection="1">
      <protection locked="0"/>
    </xf>
    <xf numFmtId="174" fontId="12" fillId="34" borderId="6" xfId="0" applyNumberFormat="1" applyFont="1" applyFill="1" applyBorder="1" applyProtection="1">
      <protection locked="0"/>
    </xf>
    <xf numFmtId="0" fontId="69" fillId="34" borderId="0" xfId="0" applyFont="1" applyFill="1" applyAlignment="1" applyProtection="1">
      <alignment horizontal="left"/>
      <protection locked="0"/>
    </xf>
    <xf numFmtId="0" fontId="8" fillId="34" borderId="18" xfId="0" applyFont="1" applyFill="1" applyBorder="1" applyAlignment="1" applyProtection="1">
      <alignment horizontal="right"/>
      <protection locked="0"/>
    </xf>
    <xf numFmtId="173" fontId="8" fillId="34" borderId="0" xfId="90" applyNumberFormat="1" applyFont="1" applyFill="1" applyBorder="1" applyProtection="1">
      <protection locked="0"/>
    </xf>
    <xf numFmtId="173" fontId="20" fillId="34" borderId="0" xfId="86" applyNumberFormat="1" applyFont="1" applyFill="1" applyProtection="1">
      <protection locked="0"/>
    </xf>
    <xf numFmtId="188" fontId="20" fillId="34" borderId="0" xfId="0" applyNumberFormat="1" applyFont="1" applyFill="1" applyProtection="1">
      <protection locked="0"/>
    </xf>
    <xf numFmtId="0" fontId="0" fillId="34" borderId="0" xfId="0" applyFill="1" applyAlignment="1" applyProtection="1">
      <alignment horizontal="center"/>
      <protection locked="0"/>
    </xf>
    <xf numFmtId="0" fontId="20" fillId="34" borderId="0" xfId="0" applyFont="1" applyFill="1" applyProtection="1">
      <protection locked="0"/>
    </xf>
    <xf numFmtId="170" fontId="122" fillId="34" borderId="28" xfId="0" applyNumberFormat="1" applyFont="1" applyFill="1" applyBorder="1" applyAlignment="1" applyProtection="1">
      <alignment horizontal="center"/>
      <protection locked="0"/>
    </xf>
    <xf numFmtId="175" fontId="122" fillId="34" borderId="0" xfId="288" applyNumberFormat="1" applyFont="1" applyFill="1" applyProtection="1">
      <protection locked="0"/>
    </xf>
    <xf numFmtId="196" fontId="163" fillId="31" borderId="0" xfId="0" applyNumberFormat="1" applyFont="1" applyFill="1" applyAlignment="1">
      <alignment horizontal="right"/>
    </xf>
    <xf numFmtId="173" fontId="8" fillId="0" borderId="0" xfId="123" applyNumberFormat="1" applyFont="1" applyFill="1" applyProtection="1">
      <protection locked="0"/>
    </xf>
    <xf numFmtId="0" fontId="130" fillId="0" borderId="0" xfId="0" applyFont="1" applyAlignment="1">
      <alignment vertical="center"/>
    </xf>
    <xf numFmtId="0" fontId="81" fillId="0" borderId="0" xfId="224" applyFont="1" applyAlignment="1">
      <alignment horizontal="center"/>
    </xf>
    <xf numFmtId="173" fontId="78" fillId="0" borderId="0" xfId="277" applyNumberFormat="1" applyFont="1" applyProtection="1">
      <protection locked="0"/>
    </xf>
    <xf numFmtId="0" fontId="71" fillId="0" borderId="0" xfId="277" applyFont="1" applyAlignment="1" applyProtection="1">
      <alignment horizontal="center"/>
      <protection locked="0"/>
    </xf>
    <xf numFmtId="0" fontId="131" fillId="0" borderId="0" xfId="0" applyFont="1" applyAlignment="1">
      <alignment horizontal="center"/>
    </xf>
    <xf numFmtId="172" fontId="12" fillId="0" borderId="0" xfId="274" applyFont="1"/>
    <xf numFmtId="0" fontId="12" fillId="0" borderId="0" xfId="279"/>
    <xf numFmtId="0" fontId="12" fillId="0" borderId="14" xfId="0" applyFont="1" applyBorder="1" applyAlignment="1">
      <alignment horizontal="center"/>
    </xf>
    <xf numFmtId="0" fontId="12" fillId="0" borderId="32" xfId="0" applyFont="1" applyBorder="1" applyAlignment="1">
      <alignment horizontal="center"/>
    </xf>
    <xf numFmtId="0" fontId="12" fillId="0" borderId="33" xfId="0" applyFont="1" applyBorder="1" applyAlignment="1">
      <alignment horizontal="center"/>
    </xf>
    <xf numFmtId="0" fontId="9" fillId="0" borderId="0" xfId="279" applyFont="1" applyAlignment="1">
      <alignment horizontal="center"/>
    </xf>
    <xf numFmtId="0" fontId="9" fillId="0" borderId="31" xfId="279" applyFont="1" applyBorder="1" applyAlignment="1">
      <alignment horizontal="center"/>
    </xf>
    <xf numFmtId="0" fontId="9" fillId="0" borderId="33" xfId="279" applyFont="1" applyBorder="1" applyAlignment="1">
      <alignment horizontal="center"/>
    </xf>
    <xf numFmtId="0" fontId="9" fillId="0" borderId="0" xfId="279" applyFont="1" applyAlignment="1">
      <alignment horizontal="center" wrapText="1"/>
    </xf>
    <xf numFmtId="0" fontId="9" fillId="0" borderId="33" xfId="279" applyFont="1" applyBorder="1" applyAlignment="1">
      <alignment horizontal="center" wrapText="1"/>
    </xf>
    <xf numFmtId="0" fontId="12" fillId="0" borderId="33" xfId="0" applyFont="1" applyBorder="1" applyAlignment="1">
      <alignment horizontal="center" wrapText="1"/>
    </xf>
    <xf numFmtId="0" fontId="9" fillId="0" borderId="2" xfId="279" applyFont="1" applyBorder="1" applyAlignment="1">
      <alignment horizontal="centerContinuous" wrapText="1"/>
    </xf>
    <xf numFmtId="0" fontId="12" fillId="0" borderId="36" xfId="0" applyFont="1" applyBorder="1" applyAlignment="1">
      <alignment horizontal="center"/>
    </xf>
    <xf numFmtId="37" fontId="12" fillId="0" borderId="0" xfId="279" applyNumberFormat="1"/>
    <xf numFmtId="173" fontId="12" fillId="0" borderId="14" xfId="91" applyNumberFormat="1" applyFont="1" applyBorder="1"/>
    <xf numFmtId="0" fontId="12" fillId="0" borderId="37" xfId="279" applyBorder="1" applyAlignment="1">
      <alignment horizontal="right"/>
    </xf>
    <xf numFmtId="0" fontId="12" fillId="0" borderId="38" xfId="0" applyFont="1" applyBorder="1" applyAlignment="1">
      <alignment horizontal="center"/>
    </xf>
    <xf numFmtId="0" fontId="12" fillId="0" borderId="34" xfId="279" applyBorder="1"/>
    <xf numFmtId="0" fontId="12" fillId="0" borderId="31" xfId="279" applyBorder="1"/>
    <xf numFmtId="0" fontId="12" fillId="0" borderId="31" xfId="279" quotePrefix="1" applyBorder="1" applyAlignment="1">
      <alignment horizontal="left"/>
    </xf>
    <xf numFmtId="3" fontId="24" fillId="0" borderId="11" xfId="224" applyNumberFormat="1" applyFont="1" applyBorder="1" applyAlignment="1">
      <alignment horizontal="center" wrapText="1"/>
    </xf>
    <xf numFmtId="0" fontId="9" fillId="0" borderId="35" xfId="279" applyFont="1" applyBorder="1" applyAlignment="1">
      <alignment horizontal="center" wrapText="1"/>
    </xf>
    <xf numFmtId="0" fontId="12" fillId="0" borderId="36" xfId="0" applyFont="1" applyBorder="1" applyAlignment="1">
      <alignment horizontal="center" wrapText="1"/>
    </xf>
    <xf numFmtId="0" fontId="9" fillId="0" borderId="0" xfId="279" applyFont="1" applyAlignment="1">
      <alignment horizontal="centerContinuous"/>
    </xf>
    <xf numFmtId="0" fontId="12" fillId="0" borderId="0" xfId="202"/>
    <xf numFmtId="0" fontId="12" fillId="0" borderId="0" xfId="279" applyAlignment="1">
      <alignment horizontal="left"/>
    </xf>
    <xf numFmtId="0" fontId="17" fillId="0" borderId="0" xfId="224" applyFont="1" applyAlignment="1">
      <alignment horizontal="center" vertical="center"/>
    </xf>
    <xf numFmtId="0" fontId="17" fillId="0" borderId="0" xfId="268" applyFont="1" applyAlignment="1">
      <alignment horizontal="center" vertical="center" wrapText="1"/>
    </xf>
    <xf numFmtId="0" fontId="17" fillId="0" borderId="0" xfId="224" quotePrefix="1" applyFont="1" applyAlignment="1">
      <alignment horizontal="center" vertical="center" wrapText="1"/>
    </xf>
    <xf numFmtId="0" fontId="17" fillId="0" borderId="0" xfId="224" applyFont="1" applyAlignment="1">
      <alignment horizontal="left" vertical="center"/>
    </xf>
    <xf numFmtId="173" fontId="0" fillId="0" borderId="11" xfId="86" applyNumberFormat="1" applyFont="1" applyFill="1" applyBorder="1"/>
    <xf numFmtId="173" fontId="63" fillId="0" borderId="0" xfId="86" applyNumberFormat="1" applyFont="1" applyFill="1" applyAlignment="1" applyProtection="1">
      <alignment horizontal="left"/>
      <protection locked="0"/>
    </xf>
    <xf numFmtId="173" fontId="63" fillId="0" borderId="11" xfId="86" applyNumberFormat="1" applyFont="1" applyFill="1" applyBorder="1" applyAlignment="1" applyProtection="1">
      <alignment horizontal="left"/>
      <protection locked="0"/>
    </xf>
    <xf numFmtId="0" fontId="15" fillId="0" borderId="0" xfId="0" applyFont="1"/>
    <xf numFmtId="0" fontId="15" fillId="0" borderId="0" xfId="0" applyFont="1" applyAlignment="1">
      <alignment horizontal="center"/>
    </xf>
    <xf numFmtId="0" fontId="95" fillId="0" borderId="0" xfId="279" applyFont="1" applyAlignment="1">
      <alignment horizontal="centerContinuous"/>
    </xf>
    <xf numFmtId="0" fontId="15" fillId="0" borderId="0" xfId="279" applyFont="1" applyAlignment="1">
      <alignment horizontal="left"/>
    </xf>
    <xf numFmtId="0" fontId="95" fillId="0" borderId="0" xfId="279" applyFont="1" applyAlignment="1">
      <alignment horizontal="center"/>
    </xf>
    <xf numFmtId="0" fontId="9" fillId="0" borderId="39" xfId="279" applyFont="1" applyBorder="1" applyAlignment="1">
      <alignment horizontal="center" wrapText="1"/>
    </xf>
    <xf numFmtId="0" fontId="9" fillId="0" borderId="10" xfId="279" applyFont="1" applyBorder="1" applyAlignment="1">
      <alignment horizontal="center"/>
    </xf>
    <xf numFmtId="3" fontId="24" fillId="0" borderId="32" xfId="224" applyNumberFormat="1" applyFont="1" applyBorder="1" applyAlignment="1">
      <alignment horizontal="center" wrapText="1"/>
    </xf>
    <xf numFmtId="3" fontId="24" fillId="0" borderId="40" xfId="224" applyNumberFormat="1" applyFont="1" applyBorder="1" applyAlignment="1">
      <alignment wrapText="1"/>
    </xf>
    <xf numFmtId="173" fontId="8" fillId="30" borderId="0" xfId="114" applyNumberFormat="1" applyFont="1" applyFill="1" applyAlignment="1" applyProtection="1">
      <protection locked="0"/>
    </xf>
    <xf numFmtId="41" fontId="12" fillId="0" borderId="10" xfId="279" applyNumberFormat="1" applyBorder="1"/>
    <xf numFmtId="3" fontId="24" fillId="0" borderId="40" xfId="224" applyNumberFormat="1" applyFont="1" applyBorder="1" applyAlignment="1">
      <alignment horizontal="center" wrapText="1"/>
    </xf>
    <xf numFmtId="0" fontId="15" fillId="0" borderId="0" xfId="279" applyFont="1"/>
    <xf numFmtId="37" fontId="15" fillId="0" borderId="0" xfId="279" applyNumberFormat="1" applyFont="1"/>
    <xf numFmtId="172" fontId="15" fillId="0" borderId="0" xfId="274" applyFont="1"/>
    <xf numFmtId="0" fontId="12" fillId="0" borderId="0" xfId="270" applyAlignment="1">
      <alignment vertical="top"/>
    </xf>
    <xf numFmtId="0" fontId="132" fillId="0" borderId="0" xfId="0" applyFont="1" applyAlignment="1">
      <alignment horizontal="center"/>
    </xf>
    <xf numFmtId="0" fontId="94" fillId="0" borderId="0" xfId="271" applyFont="1"/>
    <xf numFmtId="0" fontId="95" fillId="0" borderId="0" xfId="0" applyFont="1" applyAlignment="1">
      <alignment horizontal="center"/>
    </xf>
    <xf numFmtId="0" fontId="95" fillId="0" borderId="0" xfId="0" quotePrefix="1" applyFont="1" applyAlignment="1">
      <alignment horizontal="center"/>
    </xf>
    <xf numFmtId="0" fontId="9" fillId="0" borderId="0" xfId="271" applyFont="1" applyAlignment="1">
      <alignment horizontal="left"/>
    </xf>
    <xf numFmtId="173" fontId="12" fillId="0" borderId="0" xfId="90" applyNumberFormat="1" applyFont="1" applyFill="1" applyProtection="1"/>
    <xf numFmtId="0" fontId="12" fillId="0" borderId="0" xfId="271"/>
    <xf numFmtId="0" fontId="12" fillId="0" borderId="0" xfId="196"/>
    <xf numFmtId="0" fontId="12" fillId="0" borderId="0" xfId="271" applyAlignment="1">
      <alignment horizontal="left"/>
    </xf>
    <xf numFmtId="173" fontId="8" fillId="34" borderId="0" xfId="90" applyNumberFormat="1" applyFont="1" applyFill="1" applyProtection="1">
      <protection locked="0"/>
    </xf>
    <xf numFmtId="0" fontId="12" fillId="0" borderId="0" xfId="270" applyAlignment="1">
      <alignment horizontal="left"/>
    </xf>
    <xf numFmtId="173" fontId="8" fillId="0" borderId="0" xfId="90" applyNumberFormat="1" applyFont="1" applyFill="1" applyProtection="1">
      <protection locked="0"/>
    </xf>
    <xf numFmtId="10" fontId="12" fillId="0" borderId="0" xfId="288" applyNumberFormat="1" applyFont="1" applyFill="1" applyBorder="1" applyProtection="1"/>
    <xf numFmtId="173" fontId="8" fillId="30" borderId="6" xfId="90" applyNumberFormat="1" applyFont="1" applyFill="1" applyBorder="1" applyAlignment="1" applyProtection="1">
      <protection locked="0"/>
    </xf>
    <xf numFmtId="10" fontId="9" fillId="0" borderId="0" xfId="288" applyNumberFormat="1" applyFont="1" applyFill="1" applyBorder="1" applyProtection="1"/>
    <xf numFmtId="0" fontId="9" fillId="0" borderId="0" xfId="271" applyFont="1"/>
    <xf numFmtId="173" fontId="12" fillId="0" borderId="0" xfId="288" applyNumberFormat="1" applyFont="1" applyFill="1" applyBorder="1" applyProtection="1"/>
    <xf numFmtId="10" fontId="9" fillId="0" borderId="41" xfId="288" applyNumberFormat="1" applyFont="1" applyFill="1" applyBorder="1" applyProtection="1"/>
    <xf numFmtId="0" fontId="104" fillId="0" borderId="0" xfId="196" applyFont="1" applyAlignment="1">
      <alignment horizontal="center"/>
    </xf>
    <xf numFmtId="0" fontId="15" fillId="0" borderId="0" xfId="271" applyFont="1"/>
    <xf numFmtId="41" fontId="9" fillId="0" borderId="0" xfId="271" applyNumberFormat="1" applyFont="1" applyAlignment="1">
      <alignment horizontal="center" wrapText="1"/>
    </xf>
    <xf numFmtId="0" fontId="9" fillId="0" borderId="0" xfId="271" applyFont="1" applyAlignment="1">
      <alignment horizontal="center" wrapText="1"/>
    </xf>
    <xf numFmtId="0" fontId="8" fillId="34" borderId="0" xfId="271" applyFont="1" applyFill="1" applyProtection="1">
      <protection locked="0"/>
    </xf>
    <xf numFmtId="173" fontId="15" fillId="0" borderId="0" xfId="271" applyNumberFormat="1" applyFont="1"/>
    <xf numFmtId="0" fontId="12" fillId="0" borderId="11" xfId="0" applyFont="1" applyBorder="1"/>
    <xf numFmtId="0" fontId="15" fillId="0" borderId="11" xfId="271" applyFont="1" applyBorder="1"/>
    <xf numFmtId="0" fontId="12" fillId="31" borderId="0" xfId="271" applyFill="1" applyAlignment="1">
      <alignment horizontal="left"/>
    </xf>
    <xf numFmtId="41" fontId="12" fillId="0" borderId="0" xfId="288" applyNumberFormat="1" applyFont="1" applyFill="1" applyBorder="1" applyProtection="1"/>
    <xf numFmtId="184" fontId="12" fillId="0" borderId="0" xfId="90" applyNumberFormat="1" applyFont="1" applyFill="1" applyBorder="1" applyProtection="1"/>
    <xf numFmtId="10" fontId="15" fillId="0" borderId="0" xfId="288" applyNumberFormat="1" applyFont="1" applyFill="1" applyProtection="1"/>
    <xf numFmtId="173" fontId="12" fillId="0" borderId="0" xfId="90" applyNumberFormat="1" applyFont="1" applyFill="1" applyBorder="1" applyProtection="1"/>
    <xf numFmtId="173" fontId="9" fillId="0" borderId="41" xfId="90" applyNumberFormat="1" applyFont="1" applyFill="1" applyBorder="1" applyProtection="1"/>
    <xf numFmtId="0" fontId="94" fillId="0" borderId="0" xfId="271" applyFont="1" applyAlignment="1">
      <alignment horizontal="left"/>
    </xf>
    <xf numFmtId="0" fontId="15" fillId="0" borderId="0" xfId="271" applyFont="1" applyAlignment="1">
      <alignment horizontal="left"/>
    </xf>
    <xf numFmtId="0" fontId="17" fillId="0" borderId="0" xfId="271" applyFont="1" applyAlignment="1">
      <alignment horizontal="left"/>
    </xf>
    <xf numFmtId="0" fontId="17" fillId="0" borderId="0" xfId="271" applyFont="1" applyAlignment="1">
      <alignment horizontal="center" wrapText="1"/>
    </xf>
    <xf numFmtId="164" fontId="8" fillId="34" borderId="0" xfId="288" applyNumberFormat="1" applyFont="1" applyFill="1" applyAlignment="1" applyProtection="1">
      <alignment horizontal="right" wrapText="1"/>
      <protection locked="0"/>
    </xf>
    <xf numFmtId="44" fontId="8" fillId="34" borderId="0" xfId="125" applyFont="1" applyFill="1" applyAlignment="1" applyProtection="1">
      <alignment horizontal="right" wrapText="1"/>
      <protection locked="0"/>
    </xf>
    <xf numFmtId="41" fontId="8" fillId="0" borderId="0" xfId="271" applyNumberFormat="1" applyFont="1"/>
    <xf numFmtId="173" fontId="12" fillId="0" borderId="0" xfId="90" applyNumberFormat="1" applyFill="1" applyProtection="1"/>
    <xf numFmtId="41" fontId="12" fillId="0" borderId="0" xfId="271" applyNumberFormat="1"/>
    <xf numFmtId="41" fontId="95" fillId="0" borderId="0" xfId="271" applyNumberFormat="1" applyFont="1"/>
    <xf numFmtId="41" fontId="12" fillId="0" borderId="12" xfId="271" applyNumberFormat="1" applyBorder="1"/>
    <xf numFmtId="41" fontId="9" fillId="0" borderId="39" xfId="271" applyNumberFormat="1" applyFont="1" applyBorder="1"/>
    <xf numFmtId="3" fontId="0" fillId="0" borderId="0" xfId="0" applyNumberFormat="1"/>
    <xf numFmtId="0" fontId="13" fillId="0" borderId="0" xfId="0" applyFont="1" applyAlignment="1">
      <alignment horizontal="center"/>
    </xf>
    <xf numFmtId="3" fontId="0" fillId="0" borderId="0" xfId="0" applyNumberFormat="1" applyAlignment="1">
      <alignment horizontal="centerContinuous"/>
    </xf>
    <xf numFmtId="3" fontId="13" fillId="0" borderId="0" xfId="0" applyNumberFormat="1" applyFont="1" applyAlignment="1">
      <alignment horizontal="centerContinuous"/>
    </xf>
    <xf numFmtId="3" fontId="12" fillId="0" borderId="0" xfId="0" applyNumberFormat="1" applyFont="1" applyAlignment="1">
      <alignment horizontal="centerContinuous"/>
    </xf>
    <xf numFmtId="3" fontId="0" fillId="0" borderId="42" xfId="0" applyNumberFormat="1" applyBorder="1"/>
    <xf numFmtId="3" fontId="0" fillId="0" borderId="0" xfId="0" applyNumberFormat="1" applyAlignment="1">
      <alignment horizontal="left"/>
    </xf>
    <xf numFmtId="37" fontId="0" fillId="0" borderId="0" xfId="0" applyNumberFormat="1"/>
    <xf numFmtId="37" fontId="0" fillId="0" borderId="0" xfId="0" applyNumberFormat="1" applyAlignment="1">
      <alignment horizontal="center"/>
    </xf>
    <xf numFmtId="37" fontId="0" fillId="35" borderId="0" xfId="0" applyNumberFormat="1" applyFill="1"/>
    <xf numFmtId="37" fontId="0" fillId="0" borderId="42" xfId="0" applyNumberFormat="1" applyBorder="1"/>
    <xf numFmtId="37" fontId="0" fillId="0" borderId="43" xfId="0" applyNumberFormat="1" applyBorder="1"/>
    <xf numFmtId="37" fontId="0" fillId="36" borderId="0" xfId="0" applyNumberFormat="1" applyFill="1"/>
    <xf numFmtId="37" fontId="12" fillId="0" borderId="0" xfId="0" applyNumberFormat="1" applyFont="1"/>
    <xf numFmtId="37" fontId="0" fillId="0" borderId="44" xfId="0" applyNumberFormat="1" applyBorder="1"/>
    <xf numFmtId="3" fontId="0" fillId="0" borderId="0" xfId="0" applyNumberFormat="1" applyAlignment="1" applyProtection="1">
      <alignment horizontal="center"/>
      <protection locked="0"/>
    </xf>
    <xf numFmtId="3" fontId="0" fillId="0" borderId="0" xfId="0" applyNumberFormat="1" applyAlignment="1">
      <alignment horizontal="center"/>
    </xf>
    <xf numFmtId="3" fontId="0" fillId="0" borderId="0" xfId="0" applyNumberFormat="1" applyProtection="1">
      <protection locked="0"/>
    </xf>
    <xf numFmtId="37" fontId="0" fillId="0" borderId="14" xfId="0" applyNumberFormat="1" applyBorder="1"/>
    <xf numFmtId="37" fontId="164" fillId="0" borderId="43" xfId="0" applyNumberFormat="1" applyFont="1" applyBorder="1"/>
    <xf numFmtId="37" fontId="164" fillId="0" borderId="0" xfId="0" applyNumberFormat="1" applyFont="1"/>
    <xf numFmtId="3" fontId="12" fillId="0" borderId="0" xfId="0" applyNumberFormat="1" applyFont="1" applyAlignment="1">
      <alignment horizontal="center"/>
    </xf>
    <xf numFmtId="4" fontId="12" fillId="0" borderId="0" xfId="0" applyNumberFormat="1" applyFont="1" applyAlignment="1">
      <alignment horizontal="center"/>
    </xf>
    <xf numFmtId="0" fontId="165" fillId="0" borderId="0" xfId="276" applyNumberFormat="1" applyFont="1" applyAlignment="1" applyProtection="1">
      <alignment horizontal="center"/>
    </xf>
    <xf numFmtId="172" fontId="166" fillId="0" borderId="0" xfId="276" applyFont="1" applyProtection="1"/>
    <xf numFmtId="197" fontId="8" fillId="34" borderId="0" xfId="268" applyNumberFormat="1" applyFont="1" applyFill="1" applyProtection="1">
      <protection locked="0"/>
    </xf>
    <xf numFmtId="0" fontId="167" fillId="0" borderId="0" xfId="0" applyFont="1" applyAlignment="1">
      <alignment horizontal="left"/>
    </xf>
    <xf numFmtId="10" fontId="71" fillId="34" borderId="0" xfId="285" applyNumberFormat="1" applyFont="1" applyFill="1" applyAlignment="1" applyProtection="1">
      <alignment horizontal="center"/>
      <protection locked="0"/>
    </xf>
    <xf numFmtId="10" fontId="71" fillId="34" borderId="0" xfId="277" applyNumberFormat="1" applyFont="1" applyFill="1" applyAlignment="1" applyProtection="1">
      <alignment horizontal="center"/>
      <protection locked="0"/>
    </xf>
    <xf numFmtId="173" fontId="18" fillId="0" borderId="0" xfId="277" applyNumberFormat="1" applyFont="1"/>
    <xf numFmtId="0" fontId="18" fillId="0" borderId="0" xfId="277" applyFont="1" applyAlignment="1">
      <alignment horizontal="center" vertical="center"/>
    </xf>
    <xf numFmtId="0" fontId="18" fillId="0" borderId="0" xfId="277" applyFont="1" applyAlignment="1">
      <alignment vertical="center"/>
    </xf>
    <xf numFmtId="0" fontId="168" fillId="0" borderId="0" xfId="277" applyFont="1" applyAlignment="1">
      <alignment horizontal="right"/>
    </xf>
    <xf numFmtId="173" fontId="168" fillId="0" borderId="0" xfId="277" applyNumberFormat="1" applyFont="1"/>
    <xf numFmtId="0" fontId="18" fillId="0" borderId="0" xfId="277" applyFont="1" applyAlignment="1">
      <alignment horizontal="left" indent="2"/>
    </xf>
    <xf numFmtId="173" fontId="169" fillId="0" borderId="0" xfId="277" applyNumberFormat="1" applyFont="1"/>
    <xf numFmtId="0" fontId="137" fillId="0" borderId="0" xfId="277" applyFont="1" applyAlignment="1">
      <alignment horizontal="center"/>
    </xf>
    <xf numFmtId="0" fontId="137" fillId="0" borderId="0" xfId="277" applyFont="1"/>
    <xf numFmtId="0" fontId="138" fillId="0" borderId="0" xfId="277" applyFont="1"/>
    <xf numFmtId="173" fontId="137" fillId="0" borderId="0" xfId="277" applyNumberFormat="1" applyFont="1"/>
    <xf numFmtId="0" fontId="170" fillId="0" borderId="11" xfId="277" applyFont="1" applyBorder="1" applyAlignment="1">
      <alignment horizontal="center"/>
    </xf>
    <xf numFmtId="0" fontId="170" fillId="0" borderId="2" xfId="277" applyFont="1" applyBorder="1" applyAlignment="1">
      <alignment horizontal="center"/>
    </xf>
    <xf numFmtId="0" fontId="74" fillId="0" borderId="0" xfId="277" applyFont="1" applyAlignment="1">
      <alignment horizontal="center" vertical="center"/>
    </xf>
    <xf numFmtId="0" fontId="18" fillId="0" borderId="11" xfId="277" applyFont="1" applyBorder="1" applyAlignment="1">
      <alignment horizontal="center"/>
    </xf>
    <xf numFmtId="0" fontId="18" fillId="0" borderId="11" xfId="277" applyFont="1" applyBorder="1"/>
    <xf numFmtId="173" fontId="78" fillId="0" borderId="11" xfId="277" applyNumberFormat="1" applyFont="1" applyBorder="1" applyProtection="1">
      <protection locked="0"/>
    </xf>
    <xf numFmtId="173" fontId="71" fillId="0" borderId="11" xfId="277" applyNumberFormat="1" applyFont="1" applyBorder="1"/>
    <xf numFmtId="0" fontId="71" fillId="0" borderId="11" xfId="277" applyFont="1" applyBorder="1" applyAlignment="1" applyProtection="1">
      <alignment horizontal="center"/>
      <protection locked="0"/>
    </xf>
    <xf numFmtId="173" fontId="71" fillId="0" borderId="11" xfId="86" applyNumberFormat="1" applyFont="1" applyFill="1" applyBorder="1" applyAlignment="1" applyProtection="1">
      <alignment horizontal="center"/>
      <protection locked="0"/>
    </xf>
    <xf numFmtId="0" fontId="139" fillId="0" borderId="0" xfId="276" applyNumberFormat="1" applyFont="1" applyAlignment="1" applyProtection="1">
      <alignment horizontal="center"/>
    </xf>
    <xf numFmtId="172" fontId="165" fillId="0" borderId="0" xfId="276" applyFont="1" applyProtection="1"/>
    <xf numFmtId="0" fontId="8" fillId="34" borderId="0" xfId="91" applyNumberFormat="1" applyFont="1" applyFill="1" applyBorder="1" applyAlignment="1" applyProtection="1">
      <alignment horizontal="center"/>
      <protection locked="0"/>
    </xf>
    <xf numFmtId="41" fontId="8" fillId="34" borderId="0" xfId="270" applyNumberFormat="1" applyFont="1" applyFill="1"/>
    <xf numFmtId="3" fontId="14" fillId="0" borderId="0" xfId="276" applyNumberFormat="1" applyFont="1" applyAlignment="1" applyProtection="1">
      <alignment horizontal="center"/>
    </xf>
    <xf numFmtId="41" fontId="5" fillId="0" borderId="38" xfId="276" applyNumberFormat="1" applyFont="1" applyBorder="1" applyProtection="1"/>
    <xf numFmtId="0" fontId="63" fillId="0" borderId="0" xfId="0" applyFont="1"/>
    <xf numFmtId="3" fontId="9" fillId="0" borderId="0" xfId="0" applyNumberFormat="1" applyFont="1" applyAlignment="1">
      <alignment horizontal="left"/>
    </xf>
    <xf numFmtId="0" fontId="12" fillId="0" borderId="0" xfId="0" applyFont="1" applyAlignment="1">
      <alignment horizontal="left"/>
    </xf>
    <xf numFmtId="0" fontId="13" fillId="0" borderId="0" xfId="0" applyFont="1" applyAlignment="1">
      <alignment horizontal="left"/>
    </xf>
    <xf numFmtId="0" fontId="12" fillId="0" borderId="0" xfId="0" applyFont="1" applyAlignment="1">
      <alignment vertical="top"/>
    </xf>
    <xf numFmtId="0" fontId="107" fillId="0" borderId="0" xfId="0" applyFont="1" applyAlignment="1">
      <alignment horizontal="center"/>
    </xf>
    <xf numFmtId="0" fontId="12" fillId="0" borderId="0" xfId="280" applyFont="1" applyAlignment="1">
      <alignment horizontal="center"/>
    </xf>
    <xf numFmtId="38" fontId="8" fillId="0" borderId="0" xfId="0" applyNumberFormat="1" applyFont="1" applyProtection="1">
      <protection locked="0"/>
    </xf>
    <xf numFmtId="0" fontId="6" fillId="0" borderId="0" xfId="269" applyFont="1"/>
    <xf numFmtId="0" fontId="73" fillId="0" borderId="0" xfId="277" applyFont="1" applyAlignment="1">
      <alignment vertical="center" wrapText="1"/>
    </xf>
    <xf numFmtId="0" fontId="6" fillId="0" borderId="0" xfId="268" quotePrefix="1" applyFont="1" applyAlignment="1">
      <alignment horizontal="center"/>
    </xf>
    <xf numFmtId="0" fontId="4" fillId="0" borderId="11" xfId="277" applyFont="1" applyBorder="1" applyAlignment="1">
      <alignment horizontal="center" wrapText="1"/>
    </xf>
    <xf numFmtId="0" fontId="4" fillId="0" borderId="11" xfId="277" applyFont="1" applyBorder="1" applyAlignment="1">
      <alignment horizontal="center" vertical="center"/>
    </xf>
    <xf numFmtId="183" fontId="4" fillId="0" borderId="11" xfId="277" applyNumberFormat="1" applyFont="1" applyBorder="1" applyAlignment="1">
      <alignment horizontal="center" vertical="center" wrapText="1"/>
    </xf>
    <xf numFmtId="0" fontId="4" fillId="0" borderId="11" xfId="277" applyFont="1" applyBorder="1" applyAlignment="1">
      <alignment horizontal="center" vertical="center" wrapText="1"/>
    </xf>
    <xf numFmtId="183" fontId="4" fillId="0" borderId="11" xfId="277" applyNumberFormat="1" applyFont="1" applyBorder="1" applyAlignment="1">
      <alignment horizontal="center" vertical="center"/>
    </xf>
    <xf numFmtId="0" fontId="12" fillId="0" borderId="0" xfId="0" applyFont="1" applyAlignment="1">
      <alignment vertical="center"/>
    </xf>
    <xf numFmtId="173" fontId="74" fillId="0" borderId="0" xfId="277" applyNumberFormat="1" applyFont="1" applyAlignment="1">
      <alignment vertical="center"/>
    </xf>
    <xf numFmtId="0" fontId="4" fillId="0" borderId="0" xfId="277" applyFont="1" applyAlignment="1">
      <alignment horizontal="right" vertical="center"/>
    </xf>
    <xf numFmtId="0" fontId="71" fillId="0" borderId="0" xfId="277" applyFont="1" applyAlignment="1">
      <alignment wrapText="1"/>
    </xf>
    <xf numFmtId="0" fontId="12" fillId="0" borderId="0" xfId="272" applyFont="1" applyAlignment="1">
      <alignment horizontal="left"/>
    </xf>
    <xf numFmtId="0" fontId="12" fillId="0" borderId="0" xfId="196" applyAlignment="1">
      <alignment wrapText="1"/>
    </xf>
    <xf numFmtId="173" fontId="71" fillId="0" borderId="0" xfId="86" applyNumberFormat="1" applyFont="1" applyFill="1" applyAlignment="1" applyProtection="1">
      <alignment horizontal="center"/>
      <protection locked="0"/>
    </xf>
    <xf numFmtId="0" fontId="110" fillId="0" borderId="0" xfId="278" applyFont="1" applyProtection="1">
      <protection locked="0"/>
    </xf>
    <xf numFmtId="0" fontId="77" fillId="0" borderId="0" xfId="278" applyFont="1"/>
    <xf numFmtId="0" fontId="111" fillId="0" borderId="0" xfId="278" applyFont="1" applyAlignment="1">
      <alignment horizontal="center"/>
    </xf>
    <xf numFmtId="0" fontId="112" fillId="0" borderId="0" xfId="278" applyFont="1" applyProtection="1">
      <protection locked="0"/>
    </xf>
    <xf numFmtId="175" fontId="111" fillId="0" borderId="0" xfId="278" applyNumberFormat="1" applyFont="1" applyAlignment="1">
      <alignment horizontal="center"/>
    </xf>
    <xf numFmtId="0" fontId="111" fillId="0" borderId="0" xfId="278" applyFont="1"/>
    <xf numFmtId="0" fontId="3" fillId="0" borderId="0" xfId="278"/>
    <xf numFmtId="175" fontId="3" fillId="0" borderId="0" xfId="278" applyNumberFormat="1"/>
    <xf numFmtId="0" fontId="113" fillId="0" borderId="0" xfId="278" applyFont="1" applyProtection="1">
      <protection locked="0"/>
    </xf>
    <xf numFmtId="175" fontId="110" fillId="0" borderId="0" xfId="278" applyNumberFormat="1" applyFont="1" applyProtection="1">
      <protection locked="0"/>
    </xf>
    <xf numFmtId="0" fontId="114" fillId="0" borderId="16" xfId="278" applyFont="1" applyBorder="1"/>
    <xf numFmtId="0" fontId="110" fillId="0" borderId="16" xfId="278" applyFont="1" applyBorder="1" applyProtection="1">
      <protection locked="0"/>
    </xf>
    <xf numFmtId="0" fontId="115" fillId="0" borderId="0" xfId="278" applyFont="1" applyProtection="1">
      <protection locked="0"/>
    </xf>
    <xf numFmtId="0" fontId="117" fillId="0" borderId="0" xfId="278" applyFont="1"/>
    <xf numFmtId="0" fontId="141" fillId="0" borderId="0" xfId="278" applyFont="1" applyAlignment="1">
      <alignment horizontal="center"/>
    </xf>
    <xf numFmtId="0" fontId="3" fillId="0" borderId="0" xfId="278" applyAlignment="1">
      <alignment horizontal="center"/>
    </xf>
    <xf numFmtId="0" fontId="12" fillId="0" borderId="45" xfId="0" applyFont="1" applyBorder="1" applyAlignment="1">
      <alignment horizontal="center"/>
    </xf>
    <xf numFmtId="0" fontId="12" fillId="0" borderId="46" xfId="279" applyBorder="1" applyAlignment="1">
      <alignment horizontal="right"/>
    </xf>
    <xf numFmtId="0" fontId="143" fillId="0" borderId="0" xfId="0" applyFont="1" applyAlignment="1">
      <alignment vertical="center"/>
    </xf>
    <xf numFmtId="0" fontId="144" fillId="0" borderId="0" xfId="0" applyFont="1"/>
    <xf numFmtId="0" fontId="139" fillId="0" borderId="0" xfId="0" applyFont="1"/>
    <xf numFmtId="0" fontId="139" fillId="0" borderId="0" xfId="0" applyFont="1" applyAlignment="1">
      <alignment horizontal="left"/>
    </xf>
    <xf numFmtId="0" fontId="139" fillId="0" borderId="0" xfId="224" applyFont="1" applyAlignment="1">
      <alignment horizontal="center"/>
    </xf>
    <xf numFmtId="0" fontId="144" fillId="0" borderId="0" xfId="0" applyFont="1" applyAlignment="1">
      <alignment horizontal="center"/>
    </xf>
    <xf numFmtId="0" fontId="145" fillId="0" borderId="0" xfId="224" applyFont="1"/>
    <xf numFmtId="0" fontId="139" fillId="0" borderId="0" xfId="224" applyFont="1" applyAlignment="1">
      <alignment horizontal="left"/>
    </xf>
    <xf numFmtId="0" fontId="139" fillId="0" borderId="0" xfId="224" applyFont="1"/>
    <xf numFmtId="3" fontId="139" fillId="0" borderId="0" xfId="0" applyNumberFormat="1" applyFont="1"/>
    <xf numFmtId="3" fontId="139" fillId="0" borderId="0" xfId="0" applyNumberFormat="1" applyFont="1" applyAlignment="1">
      <alignment horizontal="left"/>
    </xf>
    <xf numFmtId="0" fontId="146" fillId="0" borderId="0" xfId="0" applyFont="1" applyAlignment="1">
      <alignment horizontal="center"/>
    </xf>
    <xf numFmtId="0" fontId="147" fillId="0" borderId="0" xfId="0" applyFont="1"/>
    <xf numFmtId="0" fontId="146" fillId="0" borderId="0" xfId="0" applyFont="1" applyAlignment="1">
      <alignment wrapText="1"/>
    </xf>
    <xf numFmtId="0" fontId="146" fillId="0" borderId="0" xfId="0" applyFont="1"/>
    <xf numFmtId="41" fontId="144" fillId="0" borderId="0" xfId="0" applyNumberFormat="1" applyFont="1"/>
    <xf numFmtId="41" fontId="147" fillId="0" borderId="0" xfId="0" applyNumberFormat="1" applyFont="1"/>
    <xf numFmtId="0" fontId="148" fillId="0" borderId="0" xfId="0" applyFont="1" applyAlignment="1">
      <alignment horizontal="center"/>
    </xf>
    <xf numFmtId="0" fontId="149" fillId="0" borderId="0" xfId="0" applyFont="1" applyAlignment="1">
      <alignment horizontal="center"/>
    </xf>
    <xf numFmtId="0" fontId="150" fillId="0" borderId="0" xfId="0" applyFont="1" applyAlignment="1">
      <alignment horizontal="center"/>
    </xf>
    <xf numFmtId="173" fontId="144" fillId="0" borderId="0" xfId="0" applyNumberFormat="1" applyFont="1"/>
    <xf numFmtId="0" fontId="144" fillId="0" borderId="0" xfId="0" applyFont="1" applyAlignment="1">
      <alignment wrapText="1"/>
    </xf>
    <xf numFmtId="0" fontId="144" fillId="0" borderId="11" xfId="0" applyFont="1" applyBorder="1"/>
    <xf numFmtId="0" fontId="147" fillId="0" borderId="11" xfId="0" applyFont="1" applyBorder="1"/>
    <xf numFmtId="0" fontId="147" fillId="0" borderId="0" xfId="0" applyFont="1" applyAlignment="1">
      <alignment horizontal="center"/>
    </xf>
    <xf numFmtId="189" fontId="147" fillId="0" borderId="0" xfId="116" applyNumberFormat="1" applyFont="1" applyAlignment="1">
      <alignment horizontal="center"/>
    </xf>
    <xf numFmtId="173" fontId="144" fillId="0" borderId="14" xfId="0" applyNumberFormat="1" applyFont="1" applyBorder="1"/>
    <xf numFmtId="173" fontId="147" fillId="0" borderId="14" xfId="0" applyNumberFormat="1" applyFont="1" applyBorder="1"/>
    <xf numFmtId="41" fontId="144" fillId="0" borderId="14" xfId="0" applyNumberFormat="1" applyFont="1" applyBorder="1"/>
    <xf numFmtId="43" fontId="147" fillId="0" borderId="0" xfId="0" applyNumberFormat="1" applyFont="1"/>
    <xf numFmtId="0" fontId="146" fillId="0" borderId="0" xfId="0" applyFont="1" applyAlignment="1">
      <alignment horizontal="center" wrapText="1"/>
    </xf>
    <xf numFmtId="43" fontId="146" fillId="0" borderId="0" xfId="116" applyFont="1" applyAlignment="1">
      <alignment horizontal="center" wrapText="1"/>
    </xf>
    <xf numFmtId="173" fontId="144" fillId="0" borderId="0" xfId="116" applyNumberFormat="1" applyFont="1"/>
    <xf numFmtId="173" fontId="144" fillId="34" borderId="0" xfId="116" applyNumberFormat="1" applyFont="1" applyFill="1" applyProtection="1">
      <protection locked="0"/>
    </xf>
    <xf numFmtId="173" fontId="146" fillId="0" borderId="0" xfId="116" applyNumberFormat="1" applyFont="1" applyAlignment="1">
      <alignment horizontal="center" wrapText="1"/>
    </xf>
    <xf numFmtId="173" fontId="146" fillId="0" borderId="0" xfId="116" applyNumberFormat="1" applyFont="1"/>
    <xf numFmtId="173" fontId="146" fillId="0" borderId="0" xfId="116" applyNumberFormat="1" applyFont="1" applyAlignment="1">
      <alignment horizontal="center"/>
    </xf>
    <xf numFmtId="173" fontId="144" fillId="0" borderId="11" xfId="0" applyNumberFormat="1" applyFont="1" applyBorder="1"/>
    <xf numFmtId="0" fontId="5" fillId="0" borderId="0" xfId="276" applyNumberFormat="1" applyFont="1" applyAlignment="1" applyProtection="1">
      <alignment horizontal="left" indent="4"/>
    </xf>
    <xf numFmtId="41" fontId="19" fillId="0" borderId="0" xfId="276" applyNumberFormat="1" applyFont="1" applyProtection="1">
      <protection locked="0"/>
    </xf>
    <xf numFmtId="173" fontId="8" fillId="34" borderId="0" xfId="114" applyNumberFormat="1" applyFont="1" applyFill="1" applyAlignment="1" applyProtection="1">
      <protection locked="0"/>
    </xf>
    <xf numFmtId="0" fontId="12" fillId="34" borderId="0" xfId="224" applyFill="1" applyProtection="1">
      <protection locked="0"/>
    </xf>
    <xf numFmtId="0" fontId="19" fillId="34" borderId="0" xfId="270" applyFont="1" applyFill="1" applyAlignment="1" applyProtection="1">
      <alignment horizontal="center"/>
      <protection locked="0"/>
    </xf>
    <xf numFmtId="41" fontId="19" fillId="34" borderId="0" xfId="270" applyNumberFormat="1" applyFont="1" applyFill="1" applyProtection="1">
      <protection locked="0"/>
    </xf>
    <xf numFmtId="10" fontId="71" fillId="0" borderId="0" xfId="288" applyNumberFormat="1" applyFont="1" applyFill="1"/>
    <xf numFmtId="164" fontId="71" fillId="0" borderId="0" xfId="288" applyNumberFormat="1" applyFont="1" applyFill="1"/>
    <xf numFmtId="10" fontId="78" fillId="34" borderId="11" xfId="288" applyNumberFormat="1" applyFont="1" applyFill="1" applyBorder="1" applyProtection="1">
      <protection locked="0"/>
    </xf>
    <xf numFmtId="10" fontId="12" fillId="0" borderId="0" xfId="288" applyNumberFormat="1" applyFont="1" applyFill="1"/>
    <xf numFmtId="10" fontId="71" fillId="0" borderId="11" xfId="288" applyNumberFormat="1" applyFont="1" applyFill="1" applyBorder="1"/>
    <xf numFmtId="173" fontId="71" fillId="0" borderId="0" xfId="90" applyNumberFormat="1" applyFont="1" applyFill="1"/>
    <xf numFmtId="10" fontId="71" fillId="0" borderId="0" xfId="288" applyNumberFormat="1" applyFont="1" applyFill="1" applyBorder="1"/>
    <xf numFmtId="9" fontId="71" fillId="0" borderId="0" xfId="288" applyFont="1" applyFill="1"/>
    <xf numFmtId="10" fontId="71" fillId="31" borderId="0" xfId="288" applyNumberFormat="1" applyFont="1" applyFill="1" applyBorder="1"/>
    <xf numFmtId="10" fontId="71" fillId="31" borderId="0" xfId="288" applyNumberFormat="1" applyFont="1" applyFill="1"/>
    <xf numFmtId="10" fontId="71" fillId="31" borderId="11" xfId="288" applyNumberFormat="1" applyFont="1" applyFill="1" applyBorder="1"/>
    <xf numFmtId="173" fontId="71" fillId="31" borderId="0" xfId="90" applyNumberFormat="1" applyFont="1" applyFill="1"/>
    <xf numFmtId="173" fontId="12" fillId="0" borderId="0" xfId="90" applyNumberFormat="1" applyFont="1" applyProtection="1"/>
    <xf numFmtId="173" fontId="12" fillId="0" borderId="0" xfId="90" applyNumberFormat="1" applyFont="1" applyBorder="1" applyProtection="1"/>
    <xf numFmtId="0" fontId="19" fillId="34" borderId="0" xfId="90" applyNumberFormat="1" applyFont="1" applyFill="1" applyAlignment="1" applyProtection="1">
      <alignment horizontal="left"/>
      <protection locked="0"/>
    </xf>
    <xf numFmtId="173" fontId="9" fillId="0" borderId="25" xfId="90" applyNumberFormat="1" applyFont="1" applyBorder="1" applyProtection="1"/>
    <xf numFmtId="0" fontId="5" fillId="0" borderId="0" xfId="90" applyNumberFormat="1" applyFont="1" applyFill="1" applyAlignment="1" applyProtection="1">
      <alignment horizontal="left"/>
    </xf>
    <xf numFmtId="0" fontId="5" fillId="0" borderId="0" xfId="90" applyNumberFormat="1" applyFont="1" applyFill="1" applyBorder="1" applyAlignment="1" applyProtection="1">
      <alignment horizontal="left"/>
    </xf>
    <xf numFmtId="0" fontId="6" fillId="0" borderId="0" xfId="90" applyNumberFormat="1" applyFont="1" applyFill="1" applyBorder="1" applyAlignment="1" applyProtection="1">
      <alignment horizontal="left"/>
    </xf>
    <xf numFmtId="173" fontId="9" fillId="0" borderId="29" xfId="90" applyNumberFormat="1" applyFont="1" applyBorder="1" applyProtection="1"/>
    <xf numFmtId="173" fontId="9" fillId="0" borderId="19" xfId="90" applyNumberFormat="1" applyFont="1" applyBorder="1" applyProtection="1"/>
    <xf numFmtId="173" fontId="12" fillId="0" borderId="6" xfId="90" applyNumberFormat="1" applyFont="1" applyBorder="1" applyProtection="1"/>
    <xf numFmtId="173" fontId="12" fillId="0" borderId="20" xfId="90" applyNumberFormat="1" applyFont="1" applyBorder="1" applyProtection="1"/>
    <xf numFmtId="173" fontId="162" fillId="34" borderId="18" xfId="90" applyNumberFormat="1" applyFont="1" applyFill="1" applyBorder="1" applyAlignment="1" applyProtection="1">
      <alignment horizontal="right"/>
      <protection locked="0"/>
    </xf>
    <xf numFmtId="173" fontId="8" fillId="34" borderId="18" xfId="90" applyNumberFormat="1" applyFont="1" applyFill="1" applyBorder="1" applyAlignment="1" applyProtection="1">
      <alignment horizontal="right"/>
      <protection locked="0"/>
    </xf>
    <xf numFmtId="173" fontId="9" fillId="0" borderId="0" xfId="90" applyNumberFormat="1" applyFont="1" applyBorder="1" applyAlignment="1" applyProtection="1">
      <alignment horizontal="center" wrapText="1"/>
    </xf>
    <xf numFmtId="173" fontId="9" fillId="0" borderId="26" xfId="90" applyNumberFormat="1" applyFont="1" applyBorder="1" applyAlignment="1" applyProtection="1">
      <alignment horizontal="center" wrapText="1"/>
    </xf>
    <xf numFmtId="173" fontId="9" fillId="0" borderId="25" xfId="90" applyNumberFormat="1" applyFont="1" applyBorder="1" applyAlignment="1" applyProtection="1">
      <alignment horizontal="center" wrapText="1"/>
    </xf>
    <xf numFmtId="173" fontId="9" fillId="28" borderId="26" xfId="90" applyNumberFormat="1" applyFont="1" applyFill="1" applyBorder="1" applyAlignment="1" applyProtection="1">
      <alignment horizontal="center" wrapText="1"/>
    </xf>
    <xf numFmtId="173" fontId="9" fillId="0" borderId="28" xfId="90" applyNumberFormat="1" applyFont="1" applyBorder="1" applyAlignment="1" applyProtection="1">
      <alignment horizontal="center"/>
    </xf>
    <xf numFmtId="173" fontId="9" fillId="0" borderId="20" xfId="90" applyNumberFormat="1" applyFont="1" applyBorder="1" applyAlignment="1" applyProtection="1">
      <alignment horizontal="center"/>
    </xf>
    <xf numFmtId="173" fontId="9" fillId="28" borderId="28" xfId="90" applyNumberFormat="1" applyFont="1" applyFill="1" applyBorder="1" applyAlignment="1" applyProtection="1">
      <alignment horizontal="center"/>
    </xf>
    <xf numFmtId="173" fontId="12" fillId="0" borderId="27" xfId="90" applyNumberFormat="1" applyFont="1" applyBorder="1" applyProtection="1"/>
    <xf numFmtId="173" fontId="12" fillId="0" borderId="27" xfId="99" applyNumberFormat="1" applyFont="1" applyFill="1" applyBorder="1" applyProtection="1"/>
    <xf numFmtId="173" fontId="12" fillId="0" borderId="18" xfId="99" applyNumberFormat="1" applyFont="1" applyFill="1" applyBorder="1" applyProtection="1"/>
    <xf numFmtId="173" fontId="12" fillId="0" borderId="18" xfId="90" applyNumberFormat="1" applyFont="1" applyBorder="1" applyProtection="1"/>
    <xf numFmtId="0" fontId="12" fillId="36" borderId="27" xfId="0" applyFont="1" applyFill="1" applyBorder="1" applyAlignment="1">
      <alignment horizontal="center"/>
    </xf>
    <xf numFmtId="173" fontId="12" fillId="31" borderId="0" xfId="0" applyNumberFormat="1" applyFont="1" applyFill="1"/>
    <xf numFmtId="173" fontId="12" fillId="31" borderId="27" xfId="0" applyNumberFormat="1" applyFont="1" applyFill="1" applyBorder="1"/>
    <xf numFmtId="173" fontId="12" fillId="31" borderId="27" xfId="90" applyNumberFormat="1" applyFont="1" applyFill="1" applyBorder="1" applyProtection="1"/>
    <xf numFmtId="173" fontId="12" fillId="31" borderId="18" xfId="90" applyNumberFormat="1" applyFont="1" applyFill="1" applyBorder="1" applyProtection="1"/>
    <xf numFmtId="173" fontId="12" fillId="0" borderId="27" xfId="90" applyNumberFormat="1" applyFont="1" applyFill="1" applyBorder="1" applyProtection="1"/>
    <xf numFmtId="173" fontId="12" fillId="0" borderId="28" xfId="90" applyNumberFormat="1" applyFont="1" applyBorder="1" applyProtection="1"/>
    <xf numFmtId="173" fontId="12" fillId="0" borderId="0" xfId="90" applyNumberFormat="1" applyProtection="1"/>
    <xf numFmtId="174" fontId="162" fillId="34" borderId="27" xfId="0" applyNumberFormat="1" applyFont="1" applyFill="1" applyBorder="1" applyProtection="1">
      <protection locked="0"/>
    </xf>
    <xf numFmtId="174" fontId="164" fillId="28" borderId="27" xfId="0" applyNumberFormat="1" applyFont="1" applyFill="1" applyBorder="1"/>
    <xf numFmtId="174" fontId="12" fillId="31" borderId="27" xfId="0" applyNumberFormat="1" applyFont="1" applyFill="1" applyBorder="1"/>
    <xf numFmtId="173" fontId="12" fillId="0" borderId="26" xfId="90" applyNumberFormat="1" applyFont="1" applyBorder="1" applyProtection="1"/>
    <xf numFmtId="173" fontId="9" fillId="0" borderId="27" xfId="90" applyNumberFormat="1" applyFont="1" applyBorder="1" applyAlignment="1" applyProtection="1">
      <alignment horizontal="center"/>
    </xf>
    <xf numFmtId="174" fontId="12" fillId="0" borderId="17" xfId="0" applyNumberFormat="1" applyFont="1" applyBorder="1"/>
    <xf numFmtId="174" fontId="8" fillId="34" borderId="0" xfId="0" applyNumberFormat="1" applyFont="1" applyFill="1" applyProtection="1">
      <protection locked="0"/>
    </xf>
    <xf numFmtId="174" fontId="12" fillId="28" borderId="15" xfId="0" applyNumberFormat="1" applyFont="1" applyFill="1" applyBorder="1"/>
    <xf numFmtId="174" fontId="12" fillId="28" borderId="25" xfId="0" applyNumberFormat="1" applyFont="1" applyFill="1" applyBorder="1"/>
    <xf numFmtId="174" fontId="12" fillId="28" borderId="0" xfId="0" applyNumberFormat="1" applyFont="1" applyFill="1"/>
    <xf numFmtId="174" fontId="12" fillId="28" borderId="18" xfId="0" applyNumberFormat="1" applyFont="1" applyFill="1" applyBorder="1"/>
    <xf numFmtId="174" fontId="8" fillId="34" borderId="21" xfId="0" applyNumberFormat="1" applyFont="1" applyFill="1" applyBorder="1" applyProtection="1">
      <protection locked="0"/>
    </xf>
    <xf numFmtId="174" fontId="8" fillId="34" borderId="25" xfId="0" applyNumberFormat="1" applyFont="1" applyFill="1" applyBorder="1" applyProtection="1">
      <protection locked="0"/>
    </xf>
    <xf numFmtId="174" fontId="164" fillId="34" borderId="27" xfId="0" applyNumberFormat="1" applyFont="1" applyFill="1" applyBorder="1" applyProtection="1">
      <protection locked="0"/>
    </xf>
    <xf numFmtId="173" fontId="9" fillId="28" borderId="27" xfId="90" applyNumberFormat="1" applyFont="1" applyFill="1" applyBorder="1" applyAlignment="1" applyProtection="1">
      <alignment horizontal="center"/>
    </xf>
    <xf numFmtId="0" fontId="12" fillId="31" borderId="27" xfId="0" applyFont="1" applyFill="1" applyBorder="1" applyAlignment="1">
      <alignment horizontal="center"/>
    </xf>
    <xf numFmtId="0" fontId="162" fillId="34" borderId="18" xfId="90" applyNumberFormat="1" applyFont="1" applyFill="1" applyBorder="1" applyAlignment="1" applyProtection="1">
      <alignment horizontal="right"/>
      <protection locked="0"/>
    </xf>
    <xf numFmtId="173" fontId="12" fillId="31" borderId="28" xfId="0" applyNumberFormat="1" applyFont="1" applyFill="1" applyBorder="1"/>
    <xf numFmtId="10" fontId="5" fillId="36" borderId="0" xfId="276" applyNumberFormat="1" applyFont="1" applyFill="1" applyProtection="1"/>
    <xf numFmtId="173" fontId="18" fillId="0" borderId="11" xfId="277" applyNumberFormat="1" applyFont="1" applyBorder="1" applyAlignment="1">
      <alignment vertical="center"/>
    </xf>
    <xf numFmtId="43" fontId="12" fillId="31" borderId="18" xfId="90" applyFont="1" applyFill="1" applyBorder="1" applyProtection="1"/>
    <xf numFmtId="173" fontId="12" fillId="31" borderId="28" xfId="90" applyNumberFormat="1" applyFont="1" applyFill="1" applyBorder="1" applyProtection="1"/>
    <xf numFmtId="173" fontId="12" fillId="31" borderId="20" xfId="90" applyNumberFormat="1" applyFont="1" applyFill="1" applyBorder="1" applyProtection="1"/>
    <xf numFmtId="43" fontId="12" fillId="31" borderId="20" xfId="90" applyFont="1" applyFill="1" applyBorder="1" applyProtection="1"/>
    <xf numFmtId="173" fontId="12" fillId="31" borderId="19" xfId="0" applyNumberFormat="1" applyFont="1" applyFill="1" applyBorder="1"/>
    <xf numFmtId="173" fontId="12" fillId="31" borderId="6" xfId="0" applyNumberFormat="1" applyFont="1" applyFill="1" applyBorder="1"/>
    <xf numFmtId="0" fontId="0" fillId="0" borderId="33" xfId="0" applyBorder="1"/>
    <xf numFmtId="173" fontId="8" fillId="34" borderId="0" xfId="91" applyNumberFormat="1" applyFont="1" applyFill="1" applyBorder="1" applyAlignment="1">
      <alignment horizontal="right"/>
    </xf>
    <xf numFmtId="10" fontId="166" fillId="34" borderId="0" xfId="285" applyNumberFormat="1" applyFont="1" applyFill="1" applyAlignment="1" applyProtection="1">
      <protection locked="0"/>
    </xf>
    <xf numFmtId="173" fontId="8" fillId="34" borderId="11" xfId="91" applyNumberFormat="1" applyFont="1" applyFill="1" applyBorder="1" applyAlignment="1">
      <alignment horizontal="right"/>
    </xf>
    <xf numFmtId="173" fontId="8" fillId="0" borderId="0" xfId="91" applyNumberFormat="1" applyFont="1" applyFill="1" applyBorder="1" applyAlignment="1">
      <alignment horizontal="right"/>
    </xf>
    <xf numFmtId="164" fontId="144" fillId="27" borderId="0" xfId="288" applyNumberFormat="1" applyFont="1" applyFill="1" applyProtection="1">
      <protection locked="0"/>
    </xf>
    <xf numFmtId="173" fontId="8" fillId="34" borderId="0" xfId="114" applyNumberFormat="1" applyFont="1" applyFill="1" applyBorder="1" applyAlignment="1" applyProtection="1">
      <protection locked="0"/>
    </xf>
    <xf numFmtId="173" fontId="8" fillId="30" borderId="11" xfId="114" applyNumberFormat="1" applyFont="1" applyFill="1" applyBorder="1" applyAlignment="1" applyProtection="1">
      <protection locked="0"/>
    </xf>
    <xf numFmtId="10" fontId="19" fillId="30" borderId="0" xfId="0" applyNumberFormat="1" applyFont="1" applyFill="1" applyProtection="1">
      <protection locked="0"/>
    </xf>
    <xf numFmtId="10" fontId="19" fillId="30" borderId="11" xfId="0" applyNumberFormat="1" applyFont="1" applyFill="1" applyBorder="1" applyProtection="1">
      <protection locked="0"/>
    </xf>
    <xf numFmtId="0" fontId="5" fillId="27" borderId="0" xfId="0" applyFont="1" applyFill="1"/>
    <xf numFmtId="0" fontId="5" fillId="0" borderId="0" xfId="270" applyFont="1" applyAlignment="1">
      <alignment horizontal="left"/>
    </xf>
    <xf numFmtId="0" fontId="6" fillId="0" borderId="0" xfId="270" applyFont="1"/>
    <xf numFmtId="0" fontId="29" fillId="0" borderId="0" xfId="270" applyFont="1"/>
    <xf numFmtId="0" fontId="5" fillId="0" borderId="0" xfId="270" applyFont="1" applyAlignment="1">
      <alignment horizontal="center"/>
    </xf>
    <xf numFmtId="0" fontId="28" fillId="0" borderId="0" xfId="270" applyFont="1" applyAlignment="1">
      <alignment horizontal="left"/>
    </xf>
    <xf numFmtId="0" fontId="5" fillId="0" borderId="0" xfId="270" applyFont="1"/>
    <xf numFmtId="0" fontId="6" fillId="0" borderId="0" xfId="270" applyFont="1" applyAlignment="1">
      <alignment horizontal="center"/>
    </xf>
    <xf numFmtId="0" fontId="78" fillId="30" borderId="0" xfId="277" applyFont="1" applyFill="1" applyProtection="1">
      <protection locked="0"/>
    </xf>
    <xf numFmtId="9" fontId="5" fillId="0" borderId="0" xfId="0" applyNumberFormat="1" applyFont="1"/>
    <xf numFmtId="0" fontId="24" fillId="0" borderId="0" xfId="228" applyFont="1"/>
    <xf numFmtId="172" fontId="156" fillId="0" borderId="0" xfId="229"/>
    <xf numFmtId="0" fontId="12" fillId="0" borderId="0" xfId="228" applyFont="1" applyAlignment="1">
      <alignment horizontal="right"/>
    </xf>
    <xf numFmtId="14" fontId="24" fillId="0" borderId="0" xfId="228" applyNumberFormat="1" applyFont="1"/>
    <xf numFmtId="0" fontId="24" fillId="0" borderId="0" xfId="178" applyFont="1"/>
    <xf numFmtId="9" fontId="24" fillId="0" borderId="0" xfId="287" applyFont="1"/>
    <xf numFmtId="41" fontId="24" fillId="0" borderId="0" xfId="228" applyNumberFormat="1" applyFont="1"/>
    <xf numFmtId="172" fontId="24" fillId="0" borderId="0" xfId="229" applyFont="1"/>
    <xf numFmtId="0" fontId="24" fillId="0" borderId="0" xfId="228" applyFont="1" applyAlignment="1">
      <alignment horizontal="center"/>
    </xf>
    <xf numFmtId="0" fontId="25" fillId="0" borderId="0" xfId="228" applyFont="1"/>
    <xf numFmtId="0" fontId="24" fillId="0" borderId="11" xfId="228" applyFont="1" applyBorder="1"/>
    <xf numFmtId="0" fontId="25" fillId="0" borderId="11" xfId="228" applyFont="1" applyBorder="1" applyAlignment="1">
      <alignment horizontal="center"/>
    </xf>
    <xf numFmtId="0" fontId="25" fillId="0" borderId="11" xfId="228" applyFont="1" applyBorder="1" applyAlignment="1">
      <alignment horizontal="center" wrapText="1"/>
    </xf>
    <xf numFmtId="0" fontId="25" fillId="0" borderId="0" xfId="228" applyFont="1" applyAlignment="1">
      <alignment horizontal="center"/>
    </xf>
    <xf numFmtId="0" fontId="25" fillId="0" borderId="0" xfId="228" applyFont="1" applyAlignment="1">
      <alignment horizontal="center" wrapText="1"/>
    </xf>
    <xf numFmtId="0" fontId="25" fillId="0" borderId="0" xfId="228" applyFont="1" applyAlignment="1">
      <alignment horizontal="left"/>
    </xf>
    <xf numFmtId="0" fontId="24" fillId="37" borderId="0" xfId="228" applyFont="1" applyFill="1"/>
    <xf numFmtId="49" fontId="24" fillId="0" borderId="0" xfId="228" applyNumberFormat="1" applyFont="1" applyAlignment="1">
      <alignment horizontal="center"/>
    </xf>
    <xf numFmtId="173" fontId="24" fillId="38" borderId="0" xfId="122" applyNumberFormat="1" applyFont="1" applyFill="1" applyBorder="1"/>
    <xf numFmtId="41" fontId="24" fillId="34" borderId="0" xfId="270" applyNumberFormat="1" applyFont="1" applyFill="1" applyProtection="1">
      <protection locked="0"/>
    </xf>
    <xf numFmtId="41" fontId="24" fillId="0" borderId="0" xfId="228" applyNumberFormat="1" applyFont="1" applyAlignment="1">
      <alignment horizontal="center"/>
    </xf>
    <xf numFmtId="41" fontId="24" fillId="34" borderId="40" xfId="270" applyNumberFormat="1" applyFont="1" applyFill="1" applyBorder="1" applyProtection="1">
      <protection locked="0"/>
    </xf>
    <xf numFmtId="173" fontId="24" fillId="0" borderId="0" xfId="88" applyNumberFormat="1" applyFont="1" applyBorder="1" applyAlignment="1">
      <alignment horizontal="center"/>
    </xf>
    <xf numFmtId="41" fontId="24" fillId="34" borderId="33" xfId="270" applyNumberFormat="1" applyFont="1" applyFill="1" applyBorder="1" applyAlignment="1" applyProtection="1">
      <alignment vertical="top"/>
      <protection locked="0"/>
    </xf>
    <xf numFmtId="172" fontId="157" fillId="0" borderId="0" xfId="229" applyFont="1"/>
    <xf numFmtId="172" fontId="24" fillId="0" borderId="0" xfId="178" applyNumberFormat="1" applyFont="1"/>
    <xf numFmtId="0" fontId="24" fillId="0" borderId="0" xfId="228" applyFont="1" applyAlignment="1">
      <alignment wrapText="1"/>
    </xf>
    <xf numFmtId="173" fontId="24" fillId="0" borderId="0" xfId="122" applyNumberFormat="1" applyFont="1" applyFill="1" applyBorder="1"/>
    <xf numFmtId="173" fontId="24" fillId="0" borderId="0" xfId="122" applyNumberFormat="1" applyFont="1" applyBorder="1" applyAlignment="1">
      <alignment wrapText="1"/>
    </xf>
    <xf numFmtId="0" fontId="24" fillId="0" borderId="0" xfId="228" applyFont="1" applyAlignment="1">
      <alignment horizontal="left"/>
    </xf>
    <xf numFmtId="1" fontId="24" fillId="0" borderId="14" xfId="88" applyNumberFormat="1" applyFont="1" applyBorder="1" applyAlignment="1"/>
    <xf numFmtId="173" fontId="24" fillId="0" borderId="14" xfId="88" applyNumberFormat="1" applyFont="1" applyFill="1" applyBorder="1" applyAlignment="1"/>
    <xf numFmtId="173" fontId="24" fillId="0" borderId="0" xfId="122" applyNumberFormat="1" applyFont="1" applyAlignment="1">
      <alignment wrapText="1"/>
    </xf>
    <xf numFmtId="1" fontId="24" fillId="0" borderId="0" xfId="88" applyNumberFormat="1" applyFont="1" applyBorder="1" applyAlignment="1"/>
    <xf numFmtId="176" fontId="24" fillId="0" borderId="0" xfId="88" applyNumberFormat="1" applyFont="1" applyBorder="1" applyAlignment="1"/>
    <xf numFmtId="173" fontId="24" fillId="0" borderId="0" xfId="88" applyNumberFormat="1" applyFont="1" applyBorder="1" applyAlignment="1"/>
    <xf numFmtId="0" fontId="24" fillId="0" borderId="0" xfId="228" applyFont="1" applyAlignment="1">
      <alignment horizontal="left" vertical="center"/>
    </xf>
    <xf numFmtId="0" fontId="24" fillId="0" borderId="0" xfId="228" applyFont="1" applyAlignment="1">
      <alignment vertical="top" wrapText="1"/>
    </xf>
    <xf numFmtId="173" fontId="24" fillId="0" borderId="0" xfId="228" applyNumberFormat="1" applyFont="1"/>
    <xf numFmtId="0" fontId="24" fillId="0" borderId="0" xfId="228" applyFont="1" applyAlignment="1">
      <alignment vertical="top"/>
    </xf>
    <xf numFmtId="0" fontId="25" fillId="0" borderId="0" xfId="228" applyFont="1" applyAlignment="1">
      <alignment horizontal="left" vertical="center"/>
    </xf>
    <xf numFmtId="173" fontId="24" fillId="0" borderId="0" xfId="228" applyNumberFormat="1" applyFont="1" applyAlignment="1">
      <alignment horizontal="left" vertical="center"/>
    </xf>
    <xf numFmtId="173" fontId="12" fillId="0" borderId="0" xfId="90" applyNumberFormat="1"/>
    <xf numFmtId="173" fontId="12" fillId="0" borderId="0" xfId="90" applyNumberFormat="1" applyFill="1"/>
    <xf numFmtId="173" fontId="12" fillId="0" borderId="0" xfId="90" applyNumberFormat="1" applyFont="1" applyFill="1"/>
    <xf numFmtId="173" fontId="151" fillId="34" borderId="0" xfId="117" applyNumberFormat="1" applyFont="1" applyFill="1" applyProtection="1">
      <protection locked="0"/>
    </xf>
    <xf numFmtId="41" fontId="147" fillId="0" borderId="0" xfId="273" applyNumberFormat="1" applyFont="1"/>
    <xf numFmtId="3" fontId="19" fillId="30" borderId="0" xfId="276" applyNumberFormat="1" applyFont="1" applyFill="1" applyProtection="1">
      <protection locked="0"/>
    </xf>
    <xf numFmtId="3" fontId="19" fillId="30" borderId="6" xfId="276" applyNumberFormat="1" applyFont="1" applyFill="1" applyBorder="1" applyProtection="1">
      <protection locked="0"/>
    </xf>
    <xf numFmtId="10" fontId="144" fillId="0" borderId="0" xfId="312" applyNumberFormat="1" applyFont="1"/>
    <xf numFmtId="173" fontId="144" fillId="0" borderId="0" xfId="117" applyNumberFormat="1" applyFont="1"/>
    <xf numFmtId="164" fontId="144" fillId="27" borderId="11" xfId="288" applyNumberFormat="1" applyFont="1" applyFill="1" applyBorder="1" applyProtection="1">
      <protection locked="0"/>
    </xf>
    <xf numFmtId="173" fontId="144" fillId="0" borderId="11" xfId="117" applyNumberFormat="1" applyFont="1" applyBorder="1"/>
    <xf numFmtId="195" fontId="159" fillId="30" borderId="0" xfId="270" applyNumberFormat="1" applyFont="1" applyFill="1"/>
    <xf numFmtId="1" fontId="63" fillId="30" borderId="0" xfId="227" applyNumberFormat="1" applyFont="1" applyFill="1" applyAlignment="1" applyProtection="1">
      <alignment horizontal="left"/>
      <protection locked="0"/>
    </xf>
    <xf numFmtId="0" fontId="5" fillId="0" borderId="0" xfId="277" applyFont="1"/>
    <xf numFmtId="173" fontId="144" fillId="34" borderId="11" xfId="116" applyNumberFormat="1" applyFont="1" applyFill="1" applyBorder="1" applyProtection="1">
      <protection locked="0"/>
    </xf>
    <xf numFmtId="0" fontId="24" fillId="0" borderId="0" xfId="227" applyFont="1"/>
    <xf numFmtId="0" fontId="25" fillId="0" borderId="49" xfId="228" applyFont="1" applyBorder="1" applyAlignment="1">
      <alignment horizontal="center" wrapText="1"/>
    </xf>
    <xf numFmtId="41" fontId="24" fillId="34" borderId="50" xfId="270" applyNumberFormat="1" applyFont="1" applyFill="1" applyBorder="1" applyProtection="1">
      <protection locked="0"/>
    </xf>
    <xf numFmtId="173" fontId="24" fillId="38" borderId="50" xfId="122" applyNumberFormat="1" applyFont="1" applyFill="1" applyBorder="1"/>
    <xf numFmtId="173" fontId="24" fillId="0" borderId="51" xfId="122" applyNumberFormat="1" applyFont="1" applyFill="1" applyBorder="1"/>
    <xf numFmtId="41" fontId="24" fillId="34" borderId="52" xfId="270" applyNumberFormat="1" applyFont="1" applyFill="1" applyBorder="1" applyProtection="1">
      <protection locked="0"/>
    </xf>
    <xf numFmtId="173" fontId="24" fillId="38" borderId="53" xfId="122" applyNumberFormat="1" applyFont="1" applyFill="1" applyBorder="1"/>
    <xf numFmtId="173" fontId="24" fillId="38" borderId="52" xfId="122" applyNumberFormat="1" applyFont="1" applyFill="1" applyBorder="1"/>
    <xf numFmtId="173" fontId="24" fillId="0" borderId="52" xfId="122" applyNumberFormat="1" applyFont="1" applyFill="1" applyBorder="1"/>
    <xf numFmtId="173" fontId="24" fillId="0" borderId="53" xfId="122" applyNumberFormat="1" applyFont="1" applyFill="1" applyBorder="1"/>
    <xf numFmtId="41" fontId="24" fillId="34" borderId="54" xfId="270" applyNumberFormat="1" applyFont="1" applyFill="1" applyBorder="1" applyProtection="1">
      <protection locked="0"/>
    </xf>
    <xf numFmtId="1" fontId="24" fillId="0" borderId="55" xfId="88" applyNumberFormat="1" applyFont="1" applyBorder="1" applyAlignment="1"/>
    <xf numFmtId="173" fontId="24" fillId="0" borderId="55" xfId="88" applyNumberFormat="1" applyFont="1" applyFill="1" applyBorder="1" applyAlignment="1"/>
    <xf numFmtId="173" fontId="24" fillId="0" borderId="56" xfId="88" applyNumberFormat="1" applyFont="1" applyBorder="1" applyAlignment="1">
      <alignment horizontal="center"/>
    </xf>
    <xf numFmtId="0" fontId="24" fillId="0" borderId="0" xfId="227" applyFont="1" applyAlignment="1">
      <alignment horizontal="left" vertical="center"/>
    </xf>
    <xf numFmtId="0" fontId="24" fillId="0" borderId="0" xfId="227" applyFont="1" applyAlignment="1">
      <alignment horizontal="left"/>
    </xf>
    <xf numFmtId="0" fontId="24" fillId="0" borderId="0" xfId="227" applyFont="1" applyAlignment="1">
      <alignment horizontal="center"/>
    </xf>
    <xf numFmtId="0" fontId="12" fillId="30" borderId="0" xfId="224" applyFill="1" applyProtection="1">
      <protection locked="0"/>
    </xf>
    <xf numFmtId="0" fontId="8" fillId="30" borderId="0" xfId="91" applyNumberFormat="1" applyFont="1" applyFill="1" applyBorder="1" applyAlignment="1" applyProtection="1">
      <alignment horizontal="center"/>
      <protection locked="0"/>
    </xf>
    <xf numFmtId="5" fontId="78" fillId="34" borderId="11" xfId="277" applyNumberFormat="1" applyFont="1" applyFill="1" applyBorder="1" applyProtection="1">
      <protection locked="0"/>
    </xf>
    <xf numFmtId="3" fontId="63" fillId="30" borderId="0" xfId="0" applyNumberFormat="1" applyFont="1" applyFill="1" applyProtection="1">
      <protection locked="0"/>
    </xf>
    <xf numFmtId="3" fontId="126" fillId="30" borderId="0" xfId="0" applyNumberFormat="1" applyFont="1" applyFill="1" applyProtection="1">
      <protection locked="0"/>
    </xf>
    <xf numFmtId="1" fontId="63" fillId="30" borderId="0" xfId="0" applyNumberFormat="1" applyFont="1" applyFill="1" applyAlignment="1" applyProtection="1">
      <alignment horizontal="left"/>
      <protection locked="0"/>
    </xf>
    <xf numFmtId="3" fontId="63" fillId="30" borderId="0" xfId="0" quotePrefix="1" applyNumberFormat="1" applyFont="1" applyFill="1" applyProtection="1">
      <protection locked="0"/>
    </xf>
    <xf numFmtId="0" fontId="63" fillId="30" borderId="0" xfId="0" applyFont="1" applyFill="1" applyAlignment="1" applyProtection="1">
      <alignment horizontal="left"/>
      <protection locked="0"/>
    </xf>
    <xf numFmtId="0" fontId="19" fillId="30" borderId="0" xfId="270" applyFont="1" applyFill="1" applyAlignment="1" applyProtection="1">
      <alignment horizontal="center"/>
      <protection locked="0"/>
    </xf>
    <xf numFmtId="3" fontId="19" fillId="30" borderId="0" xfId="0" applyNumberFormat="1" applyFont="1" applyFill="1" applyProtection="1">
      <protection locked="0"/>
    </xf>
    <xf numFmtId="173" fontId="8" fillId="30" borderId="57" xfId="114" applyNumberFormat="1" applyFont="1" applyFill="1" applyBorder="1" applyAlignment="1" applyProtection="1">
      <protection locked="0"/>
    </xf>
    <xf numFmtId="41" fontId="2" fillId="0" borderId="0" xfId="268" applyNumberFormat="1"/>
    <xf numFmtId="0" fontId="19" fillId="30" borderId="0" xfId="268" applyFont="1" applyFill="1" applyAlignment="1" applyProtection="1">
      <alignment horizontal="center"/>
      <protection locked="0"/>
    </xf>
    <xf numFmtId="0" fontId="12" fillId="0" borderId="33" xfId="0" applyFont="1" applyBorder="1"/>
    <xf numFmtId="41" fontId="19" fillId="0" borderId="0" xfId="268" applyNumberFormat="1" applyFont="1" applyProtection="1">
      <protection locked="0"/>
    </xf>
    <xf numFmtId="2" fontId="2" fillId="0" borderId="0" xfId="362" applyNumberFormat="1" applyFont="1"/>
    <xf numFmtId="172" fontId="2" fillId="0" borderId="0" xfId="362" applyFont="1"/>
    <xf numFmtId="172" fontId="5" fillId="0" borderId="0" xfId="362" applyFont="1" applyAlignment="1">
      <alignment horizontal="right"/>
    </xf>
    <xf numFmtId="172" fontId="24" fillId="0" borderId="0" xfId="363" applyFont="1" applyAlignment="1">
      <alignment horizontal="right"/>
    </xf>
    <xf numFmtId="173" fontId="2" fillId="0" borderId="0" xfId="364" applyNumberFormat="1" applyFont="1"/>
    <xf numFmtId="172" fontId="2" fillId="0" borderId="0" xfId="362" applyFont="1" applyAlignment="1">
      <alignment horizontal="right"/>
    </xf>
    <xf numFmtId="172" fontId="2" fillId="0" borderId="0" xfId="363" applyFont="1" applyAlignment="1">
      <alignment horizontal="right"/>
    </xf>
    <xf numFmtId="2" fontId="2" fillId="0" borderId="0" xfId="362" applyNumberFormat="1" applyFont="1" applyAlignment="1">
      <alignment horizontal="center"/>
    </xf>
    <xf numFmtId="172" fontId="2" fillId="0" borderId="0" xfId="362" applyFont="1" applyAlignment="1">
      <alignment horizontal="center"/>
    </xf>
    <xf numFmtId="172" fontId="2" fillId="0" borderId="0" xfId="362" applyFont="1" applyAlignment="1">
      <alignment wrapText="1"/>
    </xf>
    <xf numFmtId="172" fontId="2" fillId="0" borderId="0" xfId="362" applyFont="1" applyAlignment="1">
      <alignment horizontal="center" wrapText="1"/>
    </xf>
    <xf numFmtId="172" fontId="3" fillId="0" borderId="0" xfId="362"/>
    <xf numFmtId="2" fontId="9" fillId="0" borderId="0" xfId="362" applyNumberFormat="1" applyFont="1"/>
    <xf numFmtId="173" fontId="2" fillId="0" borderId="0" xfId="364" applyNumberFormat="1" applyFont="1" applyFill="1"/>
    <xf numFmtId="1" fontId="2" fillId="0" borderId="0" xfId="362" applyNumberFormat="1" applyFont="1" applyAlignment="1">
      <alignment horizontal="center"/>
    </xf>
    <xf numFmtId="49" fontId="2" fillId="0" borderId="0" xfId="364" applyNumberFormat="1" applyFont="1"/>
    <xf numFmtId="170" fontId="2" fillId="0" borderId="0" xfId="362" applyNumberFormat="1" applyFont="1"/>
    <xf numFmtId="170" fontId="2" fillId="0" borderId="11" xfId="362" applyNumberFormat="1" applyFont="1" applyBorder="1"/>
    <xf numFmtId="172" fontId="3" fillId="0" borderId="0" xfId="362" applyAlignment="1">
      <alignment horizontal="center"/>
    </xf>
    <xf numFmtId="9" fontId="2" fillId="0" borderId="0" xfId="365" applyFont="1" applyFill="1" applyAlignment="1">
      <alignment horizontal="center"/>
    </xf>
    <xf numFmtId="10" fontId="2" fillId="0" borderId="0" xfId="365" applyNumberFormat="1" applyFont="1" applyFill="1" applyAlignment="1"/>
    <xf numFmtId="9" fontId="2" fillId="0" borderId="0" xfId="365" applyFont="1" applyFill="1"/>
    <xf numFmtId="9" fontId="2" fillId="0" borderId="0" xfId="364" applyNumberFormat="1" applyFont="1" applyFill="1" applyAlignment="1">
      <alignment horizontal="center"/>
    </xf>
    <xf numFmtId="9" fontId="2" fillId="0" borderId="0" xfId="362" applyNumberFormat="1" applyFont="1" applyAlignment="1">
      <alignment horizontal="center"/>
    </xf>
    <xf numFmtId="173" fontId="2" fillId="0" borderId="11" xfId="364" applyNumberFormat="1" applyFont="1" applyBorder="1"/>
    <xf numFmtId="9" fontId="3" fillId="0" borderId="0" xfId="362" applyNumberFormat="1" applyAlignment="1">
      <alignment horizontal="center"/>
    </xf>
    <xf numFmtId="43" fontId="2" fillId="0" borderId="0" xfId="364" applyFont="1" applyFill="1"/>
    <xf numFmtId="10" fontId="2" fillId="0" borderId="0" xfId="365" applyNumberFormat="1" applyFont="1" applyFill="1"/>
    <xf numFmtId="43" fontId="2" fillId="0" borderId="49" xfId="364" applyFont="1" applyBorder="1"/>
    <xf numFmtId="173" fontId="2" fillId="0" borderId="49" xfId="364" applyNumberFormat="1" applyFont="1" applyFill="1" applyBorder="1"/>
    <xf numFmtId="173" fontId="2" fillId="0" borderId="0" xfId="364" applyNumberFormat="1" applyFont="1" applyFill="1" applyBorder="1"/>
    <xf numFmtId="9" fontId="2" fillId="0" borderId="0" xfId="364" applyNumberFormat="1" applyFont="1" applyFill="1" applyBorder="1" applyAlignment="1">
      <alignment horizontal="center"/>
    </xf>
    <xf numFmtId="10" fontId="2" fillId="0" borderId="0" xfId="365" applyNumberFormat="1" applyFont="1"/>
    <xf numFmtId="1" fontId="9" fillId="0" borderId="0" xfId="362" applyNumberFormat="1" applyFont="1" applyAlignment="1">
      <alignment horizontal="left"/>
    </xf>
    <xf numFmtId="43" fontId="2" fillId="0" borderId="0" xfId="364" applyFont="1"/>
    <xf numFmtId="198" fontId="2" fillId="0" borderId="0" xfId="364" applyNumberFormat="1" applyFont="1" applyFill="1"/>
    <xf numFmtId="173" fontId="2" fillId="0" borderId="0" xfId="364" applyNumberFormat="1" applyFont="1" applyBorder="1"/>
    <xf numFmtId="173" fontId="2" fillId="0" borderId="49" xfId="364" applyNumberFormat="1" applyFont="1" applyBorder="1"/>
    <xf numFmtId="10" fontId="2" fillId="0" borderId="0" xfId="364" applyNumberFormat="1" applyFont="1" applyFill="1" applyBorder="1" applyAlignment="1">
      <alignment horizontal="center"/>
    </xf>
    <xf numFmtId="2" fontId="3" fillId="0" borderId="0" xfId="362" applyNumberFormat="1"/>
    <xf numFmtId="9" fontId="2" fillId="0" borderId="0" xfId="365" applyFont="1"/>
    <xf numFmtId="2" fontId="2" fillId="0" borderId="0" xfId="362" applyNumberFormat="1" applyFont="1" applyAlignment="1">
      <alignment horizontal="left" wrapText="1"/>
    </xf>
    <xf numFmtId="0" fontId="1" fillId="0" borderId="0" xfId="366"/>
    <xf numFmtId="170" fontId="2" fillId="0" borderId="0" xfId="362" applyNumberFormat="1" applyFont="1" applyAlignment="1">
      <alignment horizontal="center"/>
    </xf>
    <xf numFmtId="170" fontId="2" fillId="0" borderId="0" xfId="362" applyNumberFormat="1" applyFont="1" applyAlignment="1">
      <alignment horizontal="center" wrapText="1"/>
    </xf>
    <xf numFmtId="170" fontId="2" fillId="0" borderId="0" xfId="364" applyNumberFormat="1" applyFont="1"/>
    <xf numFmtId="199" fontId="1" fillId="0" borderId="0" xfId="367" applyNumberFormat="1" applyFont="1"/>
    <xf numFmtId="199" fontId="1" fillId="0" borderId="11" xfId="367" applyNumberFormat="1" applyFont="1" applyBorder="1"/>
    <xf numFmtId="173" fontId="1" fillId="0" borderId="0" xfId="368" applyNumberFormat="1" applyFont="1"/>
    <xf numFmtId="170" fontId="1" fillId="0" borderId="0" xfId="366" applyNumberFormat="1"/>
    <xf numFmtId="176" fontId="1" fillId="0" borderId="0" xfId="368" applyNumberFormat="1" applyFont="1"/>
    <xf numFmtId="176" fontId="2" fillId="0" borderId="0" xfId="365" applyNumberFormat="1" applyFont="1" applyFill="1"/>
    <xf numFmtId="10" fontId="2" fillId="0" borderId="0" xfId="365" applyNumberFormat="1" applyFont="1" applyFill="1" applyAlignment="1">
      <alignment horizontal="center" wrapText="1"/>
    </xf>
    <xf numFmtId="170" fontId="2" fillId="0" borderId="49" xfId="364" applyNumberFormat="1" applyFont="1" applyBorder="1"/>
    <xf numFmtId="170" fontId="2" fillId="0" borderId="0" xfId="364" applyNumberFormat="1" applyFont="1" applyBorder="1"/>
    <xf numFmtId="170" fontId="3" fillId="0" borderId="0" xfId="362" applyNumberFormat="1"/>
    <xf numFmtId="37" fontId="126" fillId="30" borderId="0" xfId="0" applyNumberFormat="1" applyFont="1" applyFill="1" applyProtection="1">
      <protection locked="0"/>
    </xf>
    <xf numFmtId="0" fontId="2" fillId="0" borderId="0" xfId="224" applyFont="1"/>
    <xf numFmtId="173" fontId="2" fillId="0" borderId="0" xfId="86" applyNumberFormat="1" applyFont="1" applyFill="1"/>
    <xf numFmtId="0" fontId="77" fillId="0" borderId="30" xfId="278" applyFont="1" applyBorder="1" applyAlignment="1">
      <alignment horizontal="center"/>
    </xf>
    <xf numFmtId="0" fontId="2" fillId="0" borderId="0" xfId="279" applyFont="1"/>
    <xf numFmtId="0" fontId="130" fillId="0" borderId="0" xfId="230" applyFont="1" applyAlignment="1">
      <alignment vertical="center"/>
    </xf>
    <xf numFmtId="0" fontId="2" fillId="0" borderId="0" xfId="230"/>
    <xf numFmtId="0" fontId="109" fillId="0" borderId="0" xfId="278" applyFont="1"/>
    <xf numFmtId="44" fontId="109" fillId="0" borderId="0" xfId="369" applyFont="1" applyAlignment="1" applyProtection="1"/>
    <xf numFmtId="0" fontId="110" fillId="0" borderId="0" xfId="278" applyFont="1"/>
    <xf numFmtId="0" fontId="112" fillId="0" borderId="0" xfId="278" applyFont="1"/>
    <xf numFmtId="175" fontId="111" fillId="0" borderId="0" xfId="278" quotePrefix="1" applyNumberFormat="1" applyFont="1" applyAlignment="1">
      <alignment horizontal="center"/>
    </xf>
    <xf numFmtId="192" fontId="111" fillId="0" borderId="0" xfId="278" quotePrefix="1" applyNumberFormat="1" applyFont="1" applyAlignment="1">
      <alignment horizontal="center"/>
    </xf>
    <xf numFmtId="0" fontId="113" fillId="0" borderId="0" xfId="278" applyFont="1"/>
    <xf numFmtId="10" fontId="3" fillId="0" borderId="0" xfId="278" applyNumberFormat="1"/>
    <xf numFmtId="0" fontId="114" fillId="0" borderId="16" xfId="370" applyFont="1" applyBorder="1"/>
    <xf numFmtId="0" fontId="110" fillId="0" borderId="16" xfId="370" applyFont="1" applyBorder="1" applyProtection="1">
      <protection locked="0"/>
    </xf>
    <xf numFmtId="10" fontId="3" fillId="0" borderId="16" xfId="370" applyNumberFormat="1" applyBorder="1"/>
    <xf numFmtId="191" fontId="3" fillId="0" borderId="16" xfId="370" applyNumberFormat="1" applyBorder="1"/>
    <xf numFmtId="175" fontId="3" fillId="0" borderId="16" xfId="370" applyNumberFormat="1" applyBorder="1"/>
    <xf numFmtId="190" fontId="3" fillId="0" borderId="16" xfId="370" applyNumberFormat="1" applyBorder="1"/>
    <xf numFmtId="175" fontId="3" fillId="0" borderId="16" xfId="370" applyNumberFormat="1" applyBorder="1" applyAlignment="1">
      <alignment horizontal="center"/>
    </xf>
    <xf numFmtId="0" fontId="77" fillId="0" borderId="0" xfId="370" applyFont="1" applyAlignment="1">
      <alignment horizontal="right"/>
    </xf>
    <xf numFmtId="193" fontId="3" fillId="0" borderId="0" xfId="370" applyNumberFormat="1" applyAlignment="1">
      <alignment horizontal="center"/>
    </xf>
    <xf numFmtId="10" fontId="3" fillId="0" borderId="0" xfId="370" applyNumberFormat="1"/>
    <xf numFmtId="191" fontId="3" fillId="0" borderId="0" xfId="370" applyNumberFormat="1"/>
    <xf numFmtId="0" fontId="110" fillId="0" borderId="0" xfId="370" applyFont="1" applyProtection="1">
      <protection locked="0"/>
    </xf>
    <xf numFmtId="190" fontId="3" fillId="0" borderId="0" xfId="370" applyNumberFormat="1"/>
    <xf numFmtId="175" fontId="3" fillId="0" borderId="0" xfId="370" applyNumberFormat="1"/>
    <xf numFmtId="10" fontId="3" fillId="0" borderId="0" xfId="370" applyNumberFormat="1" applyAlignment="1">
      <alignment horizontal="center"/>
    </xf>
    <xf numFmtId="0" fontId="114" fillId="0" borderId="0" xfId="370" applyFont="1"/>
    <xf numFmtId="191" fontId="3" fillId="0" borderId="0" xfId="278" applyNumberFormat="1"/>
    <xf numFmtId="0" fontId="114" fillId="0" borderId="16" xfId="371" applyFont="1" applyBorder="1"/>
    <xf numFmtId="0" fontId="110" fillId="0" borderId="16" xfId="371" applyFont="1" applyBorder="1" applyProtection="1">
      <protection locked="0"/>
    </xf>
    <xf numFmtId="10" fontId="3" fillId="0" borderId="16" xfId="371" applyNumberFormat="1" applyBorder="1"/>
    <xf numFmtId="191" fontId="3" fillId="0" borderId="16" xfId="371" applyNumberFormat="1" applyBorder="1"/>
    <xf numFmtId="175" fontId="3" fillId="0" borderId="16" xfId="371" applyNumberFormat="1" applyBorder="1"/>
    <xf numFmtId="175" fontId="3" fillId="0" borderId="16" xfId="371" applyNumberFormat="1" applyBorder="1" applyAlignment="1">
      <alignment horizontal="center"/>
    </xf>
    <xf numFmtId="0" fontId="114" fillId="0" borderId="0" xfId="371" applyFont="1"/>
    <xf numFmtId="193" fontId="3" fillId="0" borderId="0" xfId="371" applyNumberFormat="1" applyAlignment="1">
      <alignment horizontal="center"/>
    </xf>
    <xf numFmtId="10" fontId="3" fillId="0" borderId="0" xfId="371" applyNumberFormat="1"/>
    <xf numFmtId="191" fontId="3" fillId="0" borderId="0" xfId="371" applyNumberFormat="1"/>
    <xf numFmtId="0" fontId="110" fillId="0" borderId="0" xfId="371" applyFont="1" applyProtection="1">
      <protection locked="0"/>
    </xf>
    <xf numFmtId="10" fontId="3" fillId="0" borderId="0" xfId="371" applyNumberFormat="1" applyAlignment="1">
      <alignment horizontal="center"/>
    </xf>
    <xf numFmtId="190" fontId="3" fillId="0" borderId="0" xfId="371" applyNumberFormat="1"/>
    <xf numFmtId="0" fontId="114" fillId="0" borderId="30" xfId="230" applyFont="1" applyBorder="1"/>
    <xf numFmtId="0" fontId="110" fillId="0" borderId="30" xfId="230" applyFont="1" applyBorder="1" applyProtection="1">
      <protection locked="0"/>
    </xf>
    <xf numFmtId="10" fontId="2" fillId="0" borderId="30" xfId="230" applyNumberFormat="1" applyBorder="1"/>
    <xf numFmtId="191" fontId="2" fillId="0" borderId="30" xfId="230" applyNumberFormat="1" applyBorder="1"/>
    <xf numFmtId="175" fontId="2" fillId="0" borderId="30" xfId="230" applyNumberFormat="1" applyBorder="1"/>
    <xf numFmtId="0" fontId="3" fillId="0" borderId="0" xfId="372"/>
    <xf numFmtId="175" fontId="3" fillId="0" borderId="0" xfId="372" quotePrefix="1" applyNumberFormat="1" applyAlignment="1">
      <alignment horizontal="left"/>
    </xf>
    <xf numFmtId="175" fontId="3" fillId="0" borderId="0" xfId="372" applyNumberFormat="1"/>
    <xf numFmtId="0" fontId="110" fillId="0" borderId="0" xfId="372" applyFont="1" applyProtection="1">
      <protection locked="0"/>
    </xf>
    <xf numFmtId="175" fontId="3" fillId="0" borderId="0" xfId="372" quotePrefix="1" applyNumberFormat="1" applyAlignment="1">
      <alignment horizontal="right"/>
    </xf>
    <xf numFmtId="0" fontId="115" fillId="0" borderId="0" xfId="372" applyFont="1" applyAlignment="1" applyProtection="1">
      <alignment horizontal="right"/>
      <protection locked="0"/>
    </xf>
    <xf numFmtId="0" fontId="115" fillId="0" borderId="0" xfId="372" applyFont="1" applyProtection="1">
      <protection locked="0"/>
    </xf>
    <xf numFmtId="10" fontId="116" fillId="0" borderId="0" xfId="372" applyNumberFormat="1" applyFont="1"/>
    <xf numFmtId="0" fontId="116" fillId="0" borderId="0" xfId="372" applyFont="1"/>
    <xf numFmtId="0" fontId="116" fillId="0" borderId="0" xfId="372" applyFont="1" applyAlignment="1">
      <alignment horizontal="right"/>
    </xf>
    <xf numFmtId="0" fontId="42" fillId="0" borderId="0" xfId="372" applyFont="1"/>
    <xf numFmtId="0" fontId="5" fillId="0" borderId="0" xfId="373" applyFont="1"/>
    <xf numFmtId="0" fontId="2" fillId="0" borderId="0" xfId="373"/>
    <xf numFmtId="0" fontId="2" fillId="0" borderId="0" xfId="373" applyAlignment="1">
      <alignment horizontal="center"/>
    </xf>
    <xf numFmtId="0" fontId="42" fillId="0" borderId="0" xfId="278" applyFont="1"/>
    <xf numFmtId="0" fontId="2" fillId="0" borderId="0" xfId="374"/>
    <xf numFmtId="10" fontId="3" fillId="0" borderId="16" xfId="278" applyNumberFormat="1" applyBorder="1"/>
    <xf numFmtId="191" fontId="3" fillId="0" borderId="16" xfId="278" applyNumberFormat="1" applyBorder="1"/>
    <xf numFmtId="175" fontId="3" fillId="0" borderId="16" xfId="278" applyNumberFormat="1" applyBorder="1"/>
    <xf numFmtId="190" fontId="3" fillId="0" borderId="16" xfId="278" applyNumberFormat="1" applyBorder="1"/>
    <xf numFmtId="193" fontId="3" fillId="0" borderId="0" xfId="375" applyNumberFormat="1"/>
    <xf numFmtId="10" fontId="3" fillId="0" borderId="0" xfId="375" applyNumberFormat="1" applyAlignment="1">
      <alignment horizontal="center"/>
    </xf>
    <xf numFmtId="200" fontId="3" fillId="0" borderId="0" xfId="375" applyNumberFormat="1" applyAlignment="1">
      <alignment horizontal="center"/>
    </xf>
    <xf numFmtId="175" fontId="3" fillId="0" borderId="0" xfId="375" applyNumberFormat="1"/>
    <xf numFmtId="0" fontId="110" fillId="0" borderId="0" xfId="375" applyFont="1" applyProtection="1">
      <protection locked="0"/>
    </xf>
    <xf numFmtId="0" fontId="114" fillId="0" borderId="16" xfId="230" applyFont="1" applyBorder="1"/>
    <xf numFmtId="0" fontId="110" fillId="0" borderId="16" xfId="230" applyFont="1" applyBorder="1" applyProtection="1">
      <protection locked="0"/>
    </xf>
    <xf numFmtId="10" fontId="2" fillId="0" borderId="16" xfId="230" applyNumberFormat="1" applyBorder="1" applyAlignment="1">
      <alignment horizontal="center"/>
    </xf>
    <xf numFmtId="191" fontId="2" fillId="0" borderId="16" xfId="230" applyNumberFormat="1" applyBorder="1"/>
    <xf numFmtId="175" fontId="2" fillId="0" borderId="16" xfId="230" applyNumberFormat="1" applyBorder="1"/>
    <xf numFmtId="175" fontId="2" fillId="0" borderId="16" xfId="230" applyNumberFormat="1" applyBorder="1" applyAlignment="1">
      <alignment horizontal="center"/>
    </xf>
    <xf numFmtId="0" fontId="114" fillId="0" borderId="0" xfId="230" applyFont="1"/>
    <xf numFmtId="193" fontId="3" fillId="0" borderId="0" xfId="376" applyNumberFormat="1"/>
    <xf numFmtId="10" fontId="3" fillId="0" borderId="0" xfId="376" applyNumberFormat="1" applyAlignment="1">
      <alignment horizontal="center"/>
    </xf>
    <xf numFmtId="200" fontId="3" fillId="0" borderId="0" xfId="376" applyNumberFormat="1" applyAlignment="1">
      <alignment horizontal="center"/>
    </xf>
    <xf numFmtId="175" fontId="3" fillId="0" borderId="0" xfId="376" applyNumberFormat="1"/>
    <xf numFmtId="0" fontId="110" fillId="0" borderId="0" xfId="376" applyFont="1" applyProtection="1">
      <protection locked="0"/>
    </xf>
    <xf numFmtId="0" fontId="171" fillId="0" borderId="0" xfId="230" applyFont="1" applyAlignment="1">
      <alignment horizontal="center"/>
    </xf>
    <xf numFmtId="0" fontId="77" fillId="0" borderId="0" xfId="374" applyFont="1" applyAlignment="1">
      <alignment horizontal="center" vertical="top" wrapText="1"/>
    </xf>
    <xf numFmtId="0" fontId="130" fillId="0" borderId="0" xfId="374" applyFont="1" applyAlignment="1">
      <alignment vertical="center"/>
    </xf>
    <xf numFmtId="0" fontId="2" fillId="0" borderId="0" xfId="374" applyAlignment="1">
      <alignment wrapText="1"/>
    </xf>
    <xf numFmtId="10" fontId="3" fillId="0" borderId="0" xfId="278" applyNumberFormat="1" applyAlignment="1">
      <alignment horizontal="center"/>
    </xf>
    <xf numFmtId="0" fontId="114" fillId="0" borderId="0" xfId="278" applyFont="1"/>
    <xf numFmtId="193" fontId="3" fillId="0" borderId="0" xfId="278" applyNumberFormat="1"/>
    <xf numFmtId="10" fontId="3" fillId="0" borderId="0" xfId="278" applyNumberFormat="1" applyAlignment="1">
      <alignment horizontal="right"/>
    </xf>
    <xf numFmtId="193" fontId="77" fillId="0" borderId="0" xfId="278" applyNumberFormat="1" applyFont="1"/>
    <xf numFmtId="10" fontId="77" fillId="0" borderId="0" xfId="278" applyNumberFormat="1" applyFont="1"/>
    <xf numFmtId="0" fontId="6" fillId="0" borderId="0" xfId="374" applyFont="1"/>
    <xf numFmtId="0" fontId="2" fillId="0" borderId="0" xfId="374" applyAlignment="1">
      <alignment horizontal="center"/>
    </xf>
    <xf numFmtId="0" fontId="5" fillId="0" borderId="0" xfId="374" applyFont="1" applyAlignment="1">
      <alignment horizontal="left" indent="1"/>
    </xf>
    <xf numFmtId="176" fontId="5" fillId="0" borderId="0" xfId="382" applyNumberFormat="1" applyFont="1" applyAlignment="1">
      <alignment horizontal="center"/>
    </xf>
    <xf numFmtId="10" fontId="5" fillId="0" borderId="0" xfId="383" applyNumberFormat="1" applyFont="1" applyAlignment="1">
      <alignment horizontal="right"/>
    </xf>
    <xf numFmtId="0" fontId="5" fillId="0" borderId="0" xfId="374" applyFont="1" applyAlignment="1">
      <alignment horizontal="center"/>
    </xf>
    <xf numFmtId="0" fontId="6" fillId="0" borderId="0" xfId="384" applyFont="1" applyAlignment="1">
      <alignment horizontal="right"/>
    </xf>
    <xf numFmtId="10" fontId="5" fillId="0" borderId="0" xfId="383" applyNumberFormat="1" applyFont="1" applyAlignment="1">
      <alignment horizontal="center"/>
    </xf>
    <xf numFmtId="10" fontId="116" fillId="0" borderId="0" xfId="278" applyNumberFormat="1" applyFont="1"/>
    <xf numFmtId="0" fontId="3" fillId="0" borderId="6" xfId="278" applyBorder="1"/>
    <xf numFmtId="193" fontId="3" fillId="0" borderId="6" xfId="278" applyNumberFormat="1" applyBorder="1"/>
    <xf numFmtId="10" fontId="3" fillId="0" borderId="6" xfId="278" applyNumberFormat="1" applyBorder="1"/>
    <xf numFmtId="0" fontId="114" fillId="0" borderId="6" xfId="278" applyFont="1" applyBorder="1"/>
    <xf numFmtId="0" fontId="110" fillId="0" borderId="6" xfId="278" applyFont="1" applyBorder="1" applyProtection="1">
      <protection locked="0"/>
    </xf>
    <xf numFmtId="0" fontId="5" fillId="0" borderId="0" xfId="276" applyNumberFormat="1" applyFont="1" applyAlignment="1" applyProtection="1">
      <alignment horizontal="left" wrapText="1"/>
    </xf>
    <xf numFmtId="173" fontId="5" fillId="0" borderId="0" xfId="86" applyNumberFormat="1" applyFont="1" applyFill="1" applyBorder="1" applyAlignment="1" applyProtection="1"/>
    <xf numFmtId="3" fontId="6" fillId="0" borderId="0" xfId="276" applyNumberFormat="1" applyFont="1" applyAlignment="1" applyProtection="1">
      <alignment horizontal="center" vertical="center"/>
    </xf>
    <xf numFmtId="41" fontId="97" fillId="0" borderId="0" xfId="276" applyNumberFormat="1" applyFont="1" applyAlignment="1" applyProtection="1">
      <alignment horizontal="right"/>
    </xf>
    <xf numFmtId="0" fontId="2" fillId="0" borderId="0" xfId="0" applyFont="1" applyAlignment="1">
      <alignment horizontal="center"/>
    </xf>
    <xf numFmtId="173" fontId="8" fillId="30" borderId="0" xfId="91" applyNumberFormat="1" applyFont="1" applyFill="1" applyBorder="1" applyAlignment="1">
      <alignment horizontal="right"/>
    </xf>
    <xf numFmtId="173" fontId="8" fillId="30" borderId="31" xfId="91" applyNumberFormat="1" applyFont="1" applyFill="1" applyBorder="1" applyAlignment="1">
      <alignment horizontal="right"/>
    </xf>
    <xf numFmtId="173" fontId="8" fillId="30" borderId="34" xfId="91" applyNumberFormat="1" applyFont="1" applyFill="1" applyBorder="1" applyAlignment="1">
      <alignment horizontal="right"/>
    </xf>
    <xf numFmtId="173" fontId="2" fillId="0" borderId="55" xfId="91" applyNumberFormat="1" applyFont="1" applyBorder="1"/>
    <xf numFmtId="173" fontId="2" fillId="0" borderId="46" xfId="91" applyNumberFormat="1" applyFont="1" applyBorder="1"/>
    <xf numFmtId="0" fontId="2" fillId="0" borderId="0" xfId="202" applyFont="1"/>
    <xf numFmtId="0" fontId="9" fillId="0" borderId="0" xfId="267" applyFont="1" applyAlignment="1">
      <alignment horizontal="center" wrapText="1"/>
    </xf>
    <xf numFmtId="3" fontId="24" fillId="0" borderId="11" xfId="385" applyNumberFormat="1" applyFont="1" applyBorder="1" applyAlignment="1">
      <alignment horizontal="center" wrapText="1"/>
    </xf>
    <xf numFmtId="173" fontId="164" fillId="30" borderId="0" xfId="91" applyNumberFormat="1" applyFont="1" applyFill="1" applyBorder="1" applyAlignment="1">
      <alignment horizontal="right"/>
    </xf>
    <xf numFmtId="173" fontId="164" fillId="30" borderId="31" xfId="91" applyNumberFormat="1" applyFont="1" applyFill="1" applyBorder="1" applyAlignment="1">
      <alignment horizontal="right"/>
    </xf>
    <xf numFmtId="173" fontId="164" fillId="30" borderId="34" xfId="91" applyNumberFormat="1" applyFont="1" applyFill="1" applyBorder="1" applyAlignment="1">
      <alignment horizontal="right"/>
    </xf>
    <xf numFmtId="173" fontId="164" fillId="0" borderId="55" xfId="90" applyNumberFormat="1" applyFont="1" applyBorder="1"/>
    <xf numFmtId="173" fontId="164" fillId="0" borderId="46" xfId="90" applyNumberFormat="1" applyFont="1" applyBorder="1"/>
    <xf numFmtId="0" fontId="2" fillId="0" borderId="51" xfId="0" applyFont="1" applyBorder="1"/>
    <xf numFmtId="0" fontId="2" fillId="0" borderId="57" xfId="0" applyFont="1" applyBorder="1"/>
    <xf numFmtId="3" fontId="2" fillId="0" borderId="32" xfId="385" applyNumberFormat="1" applyBorder="1" applyAlignment="1">
      <alignment horizontal="center" wrapText="1"/>
    </xf>
    <xf numFmtId="3" fontId="2" fillId="0" borderId="11" xfId="385" applyNumberFormat="1" applyBorder="1" applyAlignment="1">
      <alignment horizontal="center" wrapText="1"/>
    </xf>
    <xf numFmtId="173" fontId="8" fillId="30" borderId="57" xfId="91" applyNumberFormat="1" applyFont="1" applyFill="1" applyBorder="1" applyAlignment="1">
      <alignment horizontal="right"/>
    </xf>
    <xf numFmtId="173" fontId="8" fillId="30" borderId="11" xfId="91" applyNumberFormat="1" applyFont="1" applyFill="1" applyBorder="1" applyAlignment="1">
      <alignment horizontal="right"/>
    </xf>
    <xf numFmtId="173" fontId="2" fillId="0" borderId="55" xfId="90" applyNumberFormat="1" applyFont="1" applyBorder="1"/>
    <xf numFmtId="3" fontId="5" fillId="30" borderId="0" xfId="276" applyNumberFormat="1" applyFont="1" applyFill="1" applyProtection="1">
      <protection locked="0"/>
    </xf>
    <xf numFmtId="0" fontId="2" fillId="0" borderId="0" xfId="0" applyFont="1" applyAlignment="1">
      <alignment wrapText="1"/>
    </xf>
    <xf numFmtId="0" fontId="2" fillId="0" borderId="0" xfId="0" applyFont="1" applyAlignment="1">
      <alignment horizontal="center" wrapText="1"/>
    </xf>
    <xf numFmtId="41" fontId="5" fillId="34" borderId="6" xfId="276" applyNumberFormat="1" applyFont="1" applyFill="1" applyBorder="1" applyProtection="1">
      <protection locked="0"/>
    </xf>
    <xf numFmtId="41" fontId="5" fillId="30" borderId="0" xfId="276" applyNumberFormat="1" applyFont="1" applyFill="1" applyProtection="1">
      <protection locked="0"/>
    </xf>
    <xf numFmtId="0" fontId="9" fillId="0" borderId="31" xfId="279" applyFont="1" applyBorder="1" applyAlignment="1">
      <alignment horizontal="center" wrapText="1"/>
    </xf>
    <xf numFmtId="3" fontId="24" fillId="0" borderId="34" xfId="385" applyNumberFormat="1" applyFont="1" applyBorder="1" applyAlignment="1">
      <alignment horizontal="center" wrapText="1"/>
    </xf>
    <xf numFmtId="173" fontId="2" fillId="30" borderId="0" xfId="91" applyNumberFormat="1" applyFont="1" applyFill="1" applyBorder="1" applyAlignment="1">
      <alignment horizontal="right"/>
    </xf>
    <xf numFmtId="173" fontId="2" fillId="30" borderId="31" xfId="91" applyNumberFormat="1" applyFont="1" applyFill="1" applyBorder="1" applyAlignment="1">
      <alignment horizontal="right"/>
    </xf>
    <xf numFmtId="173" fontId="2" fillId="30" borderId="34" xfId="91" applyNumberFormat="1" applyFont="1" applyFill="1" applyBorder="1" applyAlignment="1">
      <alignment horizontal="right"/>
    </xf>
    <xf numFmtId="0" fontId="9" fillId="0" borderId="57" xfId="279" applyFont="1" applyBorder="1" applyAlignment="1">
      <alignment horizontal="center" wrapText="1"/>
    </xf>
    <xf numFmtId="0" fontId="2" fillId="0" borderId="58" xfId="0" applyFont="1" applyBorder="1"/>
    <xf numFmtId="3" fontId="2" fillId="0" borderId="34" xfId="385" applyNumberFormat="1" applyBorder="1" applyAlignment="1">
      <alignment horizontal="center" wrapText="1"/>
    </xf>
    <xf numFmtId="173" fontId="2" fillId="30" borderId="58" xfId="91" applyNumberFormat="1" applyFont="1" applyFill="1" applyBorder="1" applyAlignment="1">
      <alignment horizontal="right"/>
    </xf>
    <xf numFmtId="0" fontId="2" fillId="0" borderId="0" xfId="385" applyAlignment="1">
      <alignment horizontal="center"/>
    </xf>
    <xf numFmtId="38" fontId="2" fillId="0" borderId="0" xfId="0" applyNumberFormat="1" applyFont="1"/>
    <xf numFmtId="3" fontId="2" fillId="0" borderId="0" xfId="385" applyNumberFormat="1"/>
    <xf numFmtId="37" fontId="2" fillId="30" borderId="0" xfId="0" applyNumberFormat="1" applyFont="1" applyFill="1" applyProtection="1">
      <protection locked="0"/>
    </xf>
    <xf numFmtId="0" fontId="5" fillId="0" borderId="0" xfId="0" applyFont="1" applyAlignment="1">
      <alignment horizontal="left" vertical="top" wrapText="1"/>
    </xf>
    <xf numFmtId="172" fontId="77" fillId="0" borderId="0" xfId="276" applyFont="1" applyAlignment="1" applyProtection="1">
      <alignment horizontal="left" wrapText="1"/>
    </xf>
    <xf numFmtId="49" fontId="5" fillId="0" borderId="0" xfId="276" applyNumberFormat="1" applyFont="1" applyAlignment="1" applyProtection="1">
      <alignment horizontal="center"/>
    </xf>
    <xf numFmtId="0" fontId="32" fillId="0" borderId="0" xfId="0" applyFont="1" applyAlignment="1">
      <alignment horizontal="center"/>
    </xf>
    <xf numFmtId="0" fontId="10" fillId="0" borderId="0" xfId="276"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276" applyFont="1" applyBorder="1" applyAlignment="1" applyProtection="1">
      <alignment horizontal="center"/>
    </xf>
    <xf numFmtId="172" fontId="26" fillId="0" borderId="0" xfId="276" applyFont="1" applyAlignment="1" applyProtection="1">
      <alignment vertical="top" wrapText="1"/>
    </xf>
    <xf numFmtId="0" fontId="26" fillId="0" borderId="0" xfId="0" applyFont="1" applyAlignment="1">
      <alignment vertical="top" wrapText="1"/>
    </xf>
    <xf numFmtId="172" fontId="5" fillId="0" borderId="0" xfId="276" applyFont="1" applyAlignment="1" applyProtection="1">
      <alignment horizontal="left" wrapText="1"/>
    </xf>
    <xf numFmtId="172" fontId="118" fillId="0" borderId="0" xfId="276" applyFont="1" applyAlignment="1" applyProtection="1">
      <alignment wrapText="1"/>
    </xf>
    <xf numFmtId="0" fontId="12" fillId="0" borderId="0" xfId="0" applyFont="1" applyAlignment="1">
      <alignment wrapText="1"/>
    </xf>
    <xf numFmtId="0" fontId="32" fillId="0" borderId="0" xfId="0" applyFont="1" applyAlignment="1">
      <alignment wrapText="1"/>
    </xf>
    <xf numFmtId="0" fontId="26" fillId="0" borderId="0" xfId="276" applyNumberFormat="1" applyFont="1" applyAlignment="1" applyProtection="1">
      <alignment horizontal="left" wrapText="1"/>
    </xf>
    <xf numFmtId="172" fontId="5" fillId="0" borderId="0" xfId="276" applyFont="1" applyAlignment="1" applyProtection="1">
      <alignment horizontal="left"/>
    </xf>
    <xf numFmtId="172" fontId="139" fillId="0" borderId="0" xfId="276" applyFont="1" applyAlignment="1" applyProtection="1">
      <alignment vertical="top" wrapText="1"/>
    </xf>
    <xf numFmtId="0" fontId="134" fillId="0" borderId="0" xfId="0" applyFont="1" applyAlignment="1">
      <alignment vertical="top" wrapText="1"/>
    </xf>
    <xf numFmtId="172" fontId="26" fillId="0" borderId="0" xfId="276" applyFont="1" applyAlignment="1" applyProtection="1">
      <alignment wrapText="1"/>
    </xf>
    <xf numFmtId="3" fontId="5" fillId="0" borderId="0" xfId="276" applyNumberFormat="1" applyFont="1" applyAlignment="1" applyProtection="1">
      <alignment horizontal="left" wrapText="1"/>
    </xf>
    <xf numFmtId="0" fontId="2" fillId="0" borderId="0" xfId="0" applyFont="1" applyAlignment="1">
      <alignment horizontal="left" wrapText="1"/>
    </xf>
    <xf numFmtId="3" fontId="154" fillId="0" borderId="0" xfId="276" applyNumberFormat="1" applyFont="1" applyAlignment="1" applyProtection="1">
      <alignment horizontal="center"/>
    </xf>
    <xf numFmtId="0" fontId="5" fillId="0" borderId="0" xfId="276" applyNumberFormat="1" applyFont="1" applyAlignment="1" applyProtection="1">
      <alignment horizontal="left" wrapText="1"/>
    </xf>
    <xf numFmtId="0" fontId="5" fillId="0" borderId="0" xfId="0" applyFont="1" applyAlignment="1">
      <alignment wrapText="1"/>
    </xf>
    <xf numFmtId="0" fontId="5" fillId="0" borderId="0" xfId="276" applyNumberFormat="1" applyFont="1" applyAlignment="1" applyProtection="1">
      <alignment horizontal="left" vertical="top" wrapText="1"/>
    </xf>
    <xf numFmtId="172" fontId="5" fillId="0" borderId="0" xfId="276" applyFont="1" applyAlignment="1" applyProtection="1">
      <alignment vertical="top" wrapText="1"/>
    </xf>
    <xf numFmtId="0" fontId="5" fillId="0" borderId="0" xfId="0" applyFont="1" applyAlignment="1">
      <alignment vertical="top" wrapText="1"/>
    </xf>
    <xf numFmtId="0" fontId="5" fillId="0" borderId="0" xfId="0" applyFont="1" applyAlignment="1">
      <alignment horizontal="center"/>
    </xf>
    <xf numFmtId="0" fontId="5" fillId="0" borderId="0" xfId="224" applyFont="1" applyAlignment="1">
      <alignment horizontal="center"/>
    </xf>
    <xf numFmtId="3" fontId="5" fillId="0" borderId="0" xfId="224" applyNumberFormat="1" applyFont="1" applyAlignment="1">
      <alignment horizontal="center"/>
    </xf>
    <xf numFmtId="0" fontId="9" fillId="0" borderId="53" xfId="202" applyFont="1" applyBorder="1" applyAlignment="1">
      <alignment horizontal="center"/>
    </xf>
    <xf numFmtId="0" fontId="9" fillId="0" borderId="49" xfId="202" applyFont="1" applyBorder="1" applyAlignment="1">
      <alignment horizontal="center"/>
    </xf>
    <xf numFmtId="0" fontId="9" fillId="0" borderId="54" xfId="202" applyFont="1" applyBorder="1" applyAlignment="1">
      <alignment horizontal="center"/>
    </xf>
    <xf numFmtId="0" fontId="9" fillId="0" borderId="53" xfId="279" applyFont="1" applyBorder="1" applyAlignment="1">
      <alignment horizontal="center" wrapText="1"/>
    </xf>
    <xf numFmtId="0" fontId="9" fillId="0" borderId="49" xfId="279" applyFont="1" applyBorder="1" applyAlignment="1">
      <alignment horizontal="center" wrapText="1"/>
    </xf>
    <xf numFmtId="0" fontId="9" fillId="0" borderId="54" xfId="279" applyFont="1" applyBorder="1" applyAlignment="1">
      <alignment horizontal="center" wrapText="1"/>
    </xf>
    <xf numFmtId="0" fontId="12" fillId="0" borderId="0" xfId="224" applyAlignment="1">
      <alignment horizontal="left" wrapText="1"/>
    </xf>
    <xf numFmtId="0" fontId="17" fillId="0" borderId="0" xfId="268" applyFont="1" applyAlignment="1">
      <alignment horizontal="center" wrapText="1"/>
    </xf>
    <xf numFmtId="0" fontId="13" fillId="0" borderId="0" xfId="0" applyFont="1" applyAlignment="1">
      <alignment horizontal="center" wrapText="1"/>
    </xf>
    <xf numFmtId="3" fontId="5" fillId="0" borderId="0" xfId="0" applyNumberFormat="1" applyFont="1" applyAlignment="1">
      <alignment horizontal="center"/>
    </xf>
    <xf numFmtId="0" fontId="17" fillId="0" borderId="0" xfId="224" quotePrefix="1" applyFont="1" applyAlignment="1">
      <alignment horizontal="center" wrapText="1"/>
    </xf>
    <xf numFmtId="0" fontId="24" fillId="0" borderId="0" xfId="228" applyFont="1" applyAlignment="1">
      <alignment horizontal="left" wrapText="1"/>
    </xf>
    <xf numFmtId="0" fontId="24" fillId="0" borderId="0" xfId="228" applyFont="1" applyAlignment="1">
      <alignment horizontal="left" vertical="top" wrapText="1"/>
    </xf>
    <xf numFmtId="41" fontId="24" fillId="34" borderId="33" xfId="270" applyNumberFormat="1" applyFont="1" applyFill="1" applyBorder="1" applyAlignment="1" applyProtection="1">
      <alignment vertical="center"/>
      <protection locked="0"/>
    </xf>
    <xf numFmtId="0" fontId="24" fillId="0" borderId="0" xfId="228" applyFont="1" applyAlignment="1">
      <alignment horizontal="center" wrapText="1"/>
    </xf>
    <xf numFmtId="0" fontId="24" fillId="0" borderId="11" xfId="228" applyFont="1" applyBorder="1" applyAlignment="1">
      <alignment horizontal="center"/>
    </xf>
    <xf numFmtId="172" fontId="24" fillId="0" borderId="11" xfId="229" applyFont="1" applyBorder="1" applyAlignment="1">
      <alignment horizontal="center"/>
    </xf>
    <xf numFmtId="0" fontId="24" fillId="0" borderId="11" xfId="228" applyFont="1" applyBorder="1" applyAlignment="1">
      <alignment horizontal="center" wrapText="1"/>
    </xf>
    <xf numFmtId="0" fontId="25" fillId="0" borderId="0" xfId="228" applyFont="1" applyAlignment="1">
      <alignment horizontal="center" wrapText="1"/>
    </xf>
    <xf numFmtId="41" fontId="24" fillId="34" borderId="33" xfId="270" applyNumberFormat="1" applyFont="1" applyFill="1" applyBorder="1" applyAlignment="1" applyProtection="1">
      <alignment horizontal="left" vertical="center" wrapText="1"/>
      <protection locked="0"/>
    </xf>
    <xf numFmtId="172" fontId="2" fillId="0" borderId="0" xfId="362" applyFont="1" applyAlignment="1">
      <alignment horizontal="left" wrapText="1"/>
    </xf>
    <xf numFmtId="2" fontId="2" fillId="0" borderId="0" xfId="362" applyNumberFormat="1" applyFont="1" applyAlignment="1">
      <alignment horizontal="left" wrapText="1"/>
    </xf>
    <xf numFmtId="41" fontId="9" fillId="0" borderId="11" xfId="268" applyNumberFormat="1" applyFont="1" applyBorder="1" applyAlignment="1" applyProtection="1">
      <alignment horizontal="center"/>
      <protection locked="0"/>
    </xf>
    <xf numFmtId="172" fontId="2" fillId="0" borderId="0" xfId="362" applyFont="1" applyAlignment="1">
      <alignment horizontal="center" wrapText="1"/>
    </xf>
    <xf numFmtId="10" fontId="2" fillId="0" borderId="0" xfId="365" applyNumberFormat="1" applyFont="1" applyFill="1" applyAlignment="1">
      <alignment horizontal="center" wrapText="1"/>
    </xf>
    <xf numFmtId="172" fontId="2" fillId="0" borderId="0" xfId="362" applyFont="1" applyAlignment="1">
      <alignment horizontal="left" vertical="top" wrapText="1"/>
    </xf>
    <xf numFmtId="0" fontId="81" fillId="0" borderId="0" xfId="224" applyFont="1" applyAlignment="1">
      <alignment horizontal="center"/>
    </xf>
    <xf numFmtId="0" fontId="81" fillId="0" borderId="0" xfId="268" applyFont="1" applyAlignment="1">
      <alignment horizontal="center"/>
    </xf>
    <xf numFmtId="0" fontId="81" fillId="0" borderId="0" xfId="0" applyFont="1" applyAlignment="1">
      <alignment horizontal="center"/>
    </xf>
    <xf numFmtId="172" fontId="12" fillId="0" borderId="0" xfId="276" applyFont="1" applyAlignment="1" applyProtection="1">
      <alignment horizontal="left" vertical="top" wrapText="1"/>
    </xf>
    <xf numFmtId="0" fontId="9" fillId="0" borderId="0" xfId="280" applyFont="1" applyAlignment="1">
      <alignment wrapText="1"/>
    </xf>
    <xf numFmtId="3" fontId="4" fillId="0" borderId="0" xfId="0" applyNumberFormat="1" applyFont="1" applyAlignment="1">
      <alignment horizontal="center"/>
    </xf>
    <xf numFmtId="0" fontId="10" fillId="0" borderId="0" xfId="280" applyFont="1" applyAlignment="1">
      <alignment horizontal="center"/>
    </xf>
    <xf numFmtId="0" fontId="12" fillId="0" borderId="0" xfId="0" applyFont="1" applyAlignment="1">
      <alignment vertical="top" wrapText="1"/>
    </xf>
    <xf numFmtId="0" fontId="74" fillId="0" borderId="11" xfId="277" applyFont="1" applyBorder="1" applyAlignment="1">
      <alignment horizontal="center"/>
    </xf>
    <xf numFmtId="0" fontId="71" fillId="0" borderId="0" xfId="277" applyFont="1" applyAlignment="1">
      <alignment horizontal="left" wrapText="1"/>
    </xf>
    <xf numFmtId="0" fontId="71" fillId="0" borderId="0" xfId="277" applyFont="1" applyAlignment="1">
      <alignment wrapText="1"/>
    </xf>
    <xf numFmtId="0" fontId="4" fillId="0" borderId="0" xfId="224" applyFont="1" applyAlignment="1">
      <alignment horizontal="center"/>
    </xf>
    <xf numFmtId="0" fontId="4" fillId="0" borderId="0" xfId="0" applyFont="1" applyAlignment="1">
      <alignment horizontal="center"/>
    </xf>
    <xf numFmtId="0" fontId="69" fillId="34" borderId="0" xfId="0" applyFont="1" applyFill="1" applyAlignment="1" applyProtection="1">
      <alignment horizontal="left" vertical="top"/>
      <protection locked="0"/>
    </xf>
    <xf numFmtId="173" fontId="99" fillId="0" borderId="0" xfId="90" applyNumberFormat="1" applyFont="1" applyBorder="1" applyAlignment="1" applyProtection="1">
      <alignment horizontal="center"/>
    </xf>
    <xf numFmtId="0" fontId="0" fillId="0" borderId="0" xfId="0" applyAlignment="1">
      <alignment horizontal="left" wrapText="1"/>
    </xf>
    <xf numFmtId="172" fontId="2" fillId="0" borderId="21" xfId="276" applyFont="1" applyBorder="1" applyAlignment="1" applyProtection="1">
      <alignment wrapText="1"/>
    </xf>
    <xf numFmtId="0" fontId="2" fillId="0" borderId="15" xfId="0" applyFont="1" applyBorder="1" applyAlignment="1">
      <alignment wrapText="1"/>
    </xf>
    <xf numFmtId="0" fontId="2" fillId="0" borderId="25" xfId="0" applyFont="1" applyBorder="1" applyAlignment="1">
      <alignment wrapText="1"/>
    </xf>
    <xf numFmtId="0" fontId="2" fillId="0" borderId="17" xfId="0" applyFont="1" applyBorder="1" applyAlignment="1">
      <alignment wrapText="1"/>
    </xf>
    <xf numFmtId="0" fontId="2" fillId="0" borderId="0" xfId="0" applyFont="1" applyAlignment="1">
      <alignment wrapText="1"/>
    </xf>
    <xf numFmtId="0" fontId="2" fillId="0" borderId="18" xfId="0" applyFont="1" applyBorder="1" applyAlignment="1">
      <alignment wrapText="1"/>
    </xf>
    <xf numFmtId="0" fontId="4" fillId="0" borderId="0" xfId="0" applyFont="1" applyAlignment="1">
      <alignment wrapText="1"/>
    </xf>
    <xf numFmtId="0" fontId="0" fillId="0" borderId="0" xfId="0" applyAlignment="1">
      <alignment wrapText="1"/>
    </xf>
    <xf numFmtId="0" fontId="69" fillId="34" borderId="0" xfId="0" applyFont="1" applyFill="1" applyAlignment="1" applyProtection="1">
      <alignment horizontal="left" vertical="top" wrapText="1"/>
      <protection locked="0"/>
    </xf>
    <xf numFmtId="173" fontId="99" fillId="0" borderId="0" xfId="86" applyNumberFormat="1" applyFont="1" applyBorder="1" applyAlignment="1" applyProtection="1">
      <alignment horizontal="center"/>
    </xf>
    <xf numFmtId="0" fontId="12" fillId="0" borderId="0" xfId="271" applyAlignment="1">
      <alignment horizontal="left" wrapText="1"/>
    </xf>
    <xf numFmtId="0" fontId="12" fillId="0" borderId="0" xfId="196" applyAlignment="1">
      <alignment wrapText="1"/>
    </xf>
    <xf numFmtId="0" fontId="92" fillId="0" borderId="0" xfId="271" applyFont="1" applyAlignment="1">
      <alignment horizontal="left" wrapText="1"/>
    </xf>
    <xf numFmtId="0" fontId="63" fillId="0" borderId="0" xfId="0" applyFont="1" applyAlignment="1">
      <alignment vertical="top" wrapText="1"/>
    </xf>
    <xf numFmtId="41" fontId="9" fillId="0" borderId="0" xfId="271" applyNumberFormat="1" applyFont="1" applyAlignment="1">
      <alignment horizontal="center" wrapText="1"/>
    </xf>
    <xf numFmtId="0" fontId="9" fillId="0" borderId="47" xfId="279" applyFont="1" applyBorder="1" applyAlignment="1">
      <alignment horizontal="center" wrapText="1"/>
    </xf>
    <xf numFmtId="0" fontId="9" fillId="0" borderId="13" xfId="279" applyFont="1" applyBorder="1" applyAlignment="1">
      <alignment horizontal="center" wrapText="1"/>
    </xf>
    <xf numFmtId="0" fontId="9" fillId="0" borderId="48" xfId="279" applyFont="1" applyBorder="1" applyAlignment="1">
      <alignment horizontal="center" wrapText="1"/>
    </xf>
    <xf numFmtId="0" fontId="9" fillId="0" borderId="47" xfId="0" applyFont="1" applyBorder="1" applyAlignment="1">
      <alignment horizontal="center"/>
    </xf>
    <xf numFmtId="0" fontId="9" fillId="0" borderId="13" xfId="0" applyFont="1" applyBorder="1" applyAlignment="1">
      <alignment horizontal="center"/>
    </xf>
    <xf numFmtId="0" fontId="9" fillId="0" borderId="48" xfId="0" applyFont="1" applyBorder="1" applyAlignment="1">
      <alignment horizontal="center"/>
    </xf>
    <xf numFmtId="0" fontId="9" fillId="0" borderId="0" xfId="0" applyFont="1" applyAlignment="1">
      <alignment horizontal="center" wrapText="1"/>
    </xf>
    <xf numFmtId="0" fontId="9" fillId="0" borderId="0" xfId="0" applyFont="1" applyAlignment="1">
      <alignment horizontal="left" wrapText="1"/>
    </xf>
    <xf numFmtId="0" fontId="98" fillId="0" borderId="0" xfId="0" applyFont="1" applyAlignment="1">
      <alignment horizontal="center" wrapText="1"/>
    </xf>
    <xf numFmtId="0" fontId="20" fillId="34" borderId="0" xfId="0" applyFont="1" applyFill="1" applyAlignment="1" applyProtection="1">
      <alignment wrapText="1"/>
      <protection locked="0"/>
    </xf>
    <xf numFmtId="0" fontId="139" fillId="0" borderId="0" xfId="0" applyFont="1" applyAlignment="1">
      <alignment horizontal="center"/>
    </xf>
    <xf numFmtId="0" fontId="139" fillId="0" borderId="0" xfId="224" applyFont="1" applyAlignment="1">
      <alignment horizontal="center"/>
    </xf>
    <xf numFmtId="0" fontId="144" fillId="0" borderId="0" xfId="0" applyFont="1" applyAlignment="1">
      <alignment horizontal="center"/>
    </xf>
    <xf numFmtId="3" fontId="139" fillId="0" borderId="0" xfId="0" applyNumberFormat="1" applyFont="1" applyAlignment="1">
      <alignment horizontal="center"/>
    </xf>
    <xf numFmtId="0" fontId="146" fillId="0" borderId="0" xfId="0" applyFont="1" applyAlignment="1">
      <alignment horizontal="center"/>
    </xf>
    <xf numFmtId="0" fontId="152" fillId="0" borderId="0" xfId="0" applyFont="1" applyAlignment="1">
      <alignment horizontal="left" wrapText="1"/>
    </xf>
    <xf numFmtId="0" fontId="144" fillId="0" borderId="0" xfId="0" applyFont="1" applyAlignment="1">
      <alignment wrapText="1"/>
    </xf>
    <xf numFmtId="0" fontId="144" fillId="0" borderId="0" xfId="0" applyFont="1" applyAlignment="1">
      <alignment horizontal="left" wrapText="1"/>
    </xf>
    <xf numFmtId="0" fontId="146" fillId="0" borderId="0" xfId="0" applyFont="1" applyAlignment="1">
      <alignment horizontal="center" wrapText="1"/>
    </xf>
    <xf numFmtId="173" fontId="146" fillId="0" borderId="0" xfId="116" applyNumberFormat="1" applyFont="1" applyAlignment="1">
      <alignment horizontal="center" wrapText="1"/>
    </xf>
    <xf numFmtId="0" fontId="3" fillId="0" borderId="0" xfId="372" applyAlignment="1">
      <alignment horizontal="left" vertical="center" wrapText="1"/>
    </xf>
    <xf numFmtId="0" fontId="3" fillId="0" borderId="0" xfId="372" applyAlignment="1">
      <alignment horizontal="left" wrapText="1"/>
    </xf>
    <xf numFmtId="0" fontId="5" fillId="0" borderId="0" xfId="373" applyFont="1" applyAlignment="1">
      <alignment vertical="top" wrapText="1"/>
    </xf>
    <xf numFmtId="0" fontId="5" fillId="0" borderId="0" xfId="230" applyFont="1" applyAlignment="1">
      <alignment wrapText="1"/>
    </xf>
    <xf numFmtId="3" fontId="109" fillId="0" borderId="0" xfId="278" applyNumberFormat="1" applyFont="1" applyAlignment="1">
      <alignment horizontal="center"/>
    </xf>
    <xf numFmtId="44" fontId="109" fillId="0" borderId="0" xfId="369" applyFont="1" applyAlignment="1" applyProtection="1">
      <alignment horizontal="center"/>
    </xf>
    <xf numFmtId="0" fontId="77" fillId="0" borderId="30" xfId="278" applyFont="1" applyBorder="1" applyAlignment="1">
      <alignment horizontal="center"/>
    </xf>
    <xf numFmtId="0" fontId="109" fillId="0" borderId="0" xfId="278" applyFont="1" applyAlignment="1">
      <alignment horizontal="center"/>
    </xf>
    <xf numFmtId="0" fontId="77" fillId="0" borderId="0" xfId="379" applyFont="1" applyAlignment="1">
      <alignment vertical="center" wrapText="1"/>
    </xf>
    <xf numFmtId="0" fontId="77" fillId="0" borderId="0" xfId="380" applyFont="1" applyAlignment="1">
      <alignment vertical="center" wrapText="1"/>
    </xf>
    <xf numFmtId="0" fontId="77" fillId="0" borderId="0" xfId="381" applyFont="1" applyAlignment="1">
      <alignment vertical="center" wrapText="1"/>
    </xf>
    <xf numFmtId="0" fontId="5" fillId="0" borderId="0" xfId="374" applyFont="1" applyAlignment="1">
      <alignment wrapText="1"/>
    </xf>
    <xf numFmtId="0" fontId="77" fillId="0" borderId="0" xfId="378" applyFont="1" applyAlignment="1">
      <alignment vertical="center" wrapText="1"/>
    </xf>
    <xf numFmtId="44" fontId="109" fillId="0" borderId="0" xfId="369" applyFont="1" applyAlignment="1">
      <alignment horizontal="center"/>
    </xf>
    <xf numFmtId="0" fontId="77" fillId="0" borderId="0" xfId="377" applyFont="1" applyAlignment="1">
      <alignment vertical="center" wrapText="1"/>
    </xf>
    <xf numFmtId="0" fontId="3" fillId="0" borderId="0" xfId="278" applyAlignment="1">
      <alignment wrapText="1"/>
    </xf>
    <xf numFmtId="0" fontId="5" fillId="0" borderId="0" xfId="374" applyFont="1" applyAlignment="1">
      <alignment vertical="top" wrapText="1"/>
    </xf>
    <xf numFmtId="0" fontId="140" fillId="0" borderId="0" xfId="278" applyFont="1" applyAlignment="1">
      <alignment horizontal="center"/>
    </xf>
    <xf numFmtId="0" fontId="3" fillId="0" borderId="0" xfId="278" applyAlignment="1">
      <alignment horizontal="left" wrapText="1"/>
    </xf>
    <xf numFmtId="0" fontId="6" fillId="0" borderId="0" xfId="0" applyFont="1" applyAlignment="1">
      <alignment horizontal="center"/>
    </xf>
    <xf numFmtId="0" fontId="77" fillId="0" borderId="0" xfId="0" applyFont="1" applyAlignment="1">
      <alignment horizontal="center"/>
    </xf>
    <xf numFmtId="0" fontId="122" fillId="0" borderId="0" xfId="0" applyFont="1" applyAlignment="1">
      <alignment horizontal="center" wrapText="1"/>
    </xf>
  </cellXfs>
  <cellStyles count="38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 xfId="87" xr:uid="{00000000-0005-0000-0000-000056000000}"/>
    <cellStyle name="Comma 10 2" xfId="382" xr:uid="{42C94FC0-4E60-473F-BA7F-8EE81BD6639B}"/>
    <cellStyle name="Comma 11" xfId="88" xr:uid="{00000000-0005-0000-0000-000057000000}"/>
    <cellStyle name="Comma 12" xfId="364" xr:uid="{EC4EEC25-2AFD-49CC-AE35-131F8A73C815}"/>
    <cellStyle name="Comma 12 2" xfId="89" xr:uid="{00000000-0005-0000-0000-000058000000}"/>
    <cellStyle name="Comma 13" xfId="368" xr:uid="{656F06C9-EE45-4F25-AE2F-D924DE0368DA}"/>
    <cellStyle name="Comma 2" xfId="90" xr:uid="{00000000-0005-0000-0000-000059000000}"/>
    <cellStyle name="Comma 2 2" xfId="91" xr:uid="{00000000-0005-0000-0000-00005A000000}"/>
    <cellStyle name="Comma 3" xfId="92" xr:uid="{00000000-0005-0000-0000-00005B000000}"/>
    <cellStyle name="Comma 3 10" xfId="93" xr:uid="{00000000-0005-0000-0000-00005C000000}"/>
    <cellStyle name="Comma 3 2" xfId="94" xr:uid="{00000000-0005-0000-0000-00005D000000}"/>
    <cellStyle name="Comma 3 3" xfId="95" xr:uid="{00000000-0005-0000-0000-00005E000000}"/>
    <cellStyle name="Comma 3 3 2" xfId="96" xr:uid="{00000000-0005-0000-0000-00005F000000}"/>
    <cellStyle name="Comma 3 3 3" xfId="97" xr:uid="{00000000-0005-0000-0000-000060000000}"/>
    <cellStyle name="Comma 3 4" xfId="98" xr:uid="{00000000-0005-0000-0000-000061000000}"/>
    <cellStyle name="Comma 3 4 2" xfId="99" xr:uid="{00000000-0005-0000-0000-000062000000}"/>
    <cellStyle name="Comma 3 4 3" xfId="100" xr:uid="{00000000-0005-0000-0000-000063000000}"/>
    <cellStyle name="Comma 3 5" xfId="101" xr:uid="{00000000-0005-0000-0000-000064000000}"/>
    <cellStyle name="Comma 3 6" xfId="102" xr:uid="{00000000-0005-0000-0000-000065000000}"/>
    <cellStyle name="Comma 3 6 2" xfId="103" xr:uid="{00000000-0005-0000-0000-000066000000}"/>
    <cellStyle name="Comma 3 7" xfId="104" xr:uid="{00000000-0005-0000-0000-000067000000}"/>
    <cellStyle name="Comma 3 7 2" xfId="105" xr:uid="{00000000-0005-0000-0000-000068000000}"/>
    <cellStyle name="Comma 3 8" xfId="106" xr:uid="{00000000-0005-0000-0000-000069000000}"/>
    <cellStyle name="Comma 3 9" xfId="107" xr:uid="{00000000-0005-0000-0000-00006A000000}"/>
    <cellStyle name="Comma 3 9 2" xfId="108" xr:uid="{00000000-0005-0000-0000-00006B000000}"/>
    <cellStyle name="Comma 4" xfId="109" xr:uid="{00000000-0005-0000-0000-00006C000000}"/>
    <cellStyle name="Comma 4 2" xfId="110" xr:uid="{00000000-0005-0000-0000-00006D000000}"/>
    <cellStyle name="Comma 5" xfId="111" xr:uid="{00000000-0005-0000-0000-00006E000000}"/>
    <cellStyle name="Comma 5 2" xfId="112" xr:uid="{00000000-0005-0000-0000-00006F000000}"/>
    <cellStyle name="Comma 6" xfId="113" xr:uid="{00000000-0005-0000-0000-000070000000}"/>
    <cellStyle name="Comma 6 2" xfId="114" xr:uid="{00000000-0005-0000-0000-000071000000}"/>
    <cellStyle name="Comma 6 3" xfId="115" xr:uid="{00000000-0005-0000-0000-000072000000}"/>
    <cellStyle name="Comma 7" xfId="116" xr:uid="{00000000-0005-0000-0000-000073000000}"/>
    <cellStyle name="Comma 7 2" xfId="117" xr:uid="{00000000-0005-0000-0000-000074000000}"/>
    <cellStyle name="Comma 7 3" xfId="118" xr:uid="{00000000-0005-0000-0000-000075000000}"/>
    <cellStyle name="Comma 8" xfId="119" xr:uid="{00000000-0005-0000-0000-000076000000}"/>
    <cellStyle name="Comma 9" xfId="120" xr:uid="{00000000-0005-0000-0000-000077000000}"/>
    <cellStyle name="Comma 9 2" xfId="121" xr:uid="{00000000-0005-0000-0000-000078000000}"/>
    <cellStyle name="Comma 9 3" xfId="122" xr:uid="{00000000-0005-0000-0000-000079000000}"/>
    <cellStyle name="Comma_spp calc - revsd rev crd" xfId="123" xr:uid="{00000000-0005-0000-0000-00007A000000}"/>
    <cellStyle name="Comma0" xfId="124" xr:uid="{00000000-0005-0000-0000-00007B000000}"/>
    <cellStyle name="Currency 2" xfId="125" xr:uid="{00000000-0005-0000-0000-00007C000000}"/>
    <cellStyle name="Currency 2 2" xfId="126" xr:uid="{00000000-0005-0000-0000-00007D000000}"/>
    <cellStyle name="Currency 2 3" xfId="369" xr:uid="{B728477F-5FDF-4EB4-A7D5-04581D0F44DC}"/>
    <cellStyle name="Currency 3" xfId="127" xr:uid="{00000000-0005-0000-0000-00007E000000}"/>
    <cellStyle name="Currency 3 2" xfId="128" xr:uid="{00000000-0005-0000-0000-00007F000000}"/>
    <cellStyle name="Currency 3 3" xfId="129" xr:uid="{00000000-0005-0000-0000-000080000000}"/>
    <cellStyle name="Currency 3 3 2" xfId="130" xr:uid="{00000000-0005-0000-0000-000081000000}"/>
    <cellStyle name="Currency 3 3 3" xfId="131" xr:uid="{00000000-0005-0000-0000-000082000000}"/>
    <cellStyle name="Currency 3 4" xfId="132" xr:uid="{00000000-0005-0000-0000-000083000000}"/>
    <cellStyle name="Currency 3 4 2" xfId="133" xr:uid="{00000000-0005-0000-0000-000084000000}"/>
    <cellStyle name="Currency 3 4 3" xfId="134" xr:uid="{00000000-0005-0000-0000-000085000000}"/>
    <cellStyle name="Currency 3 5" xfId="135" xr:uid="{00000000-0005-0000-0000-000086000000}"/>
    <cellStyle name="Currency 3 6" xfId="136" xr:uid="{00000000-0005-0000-0000-000087000000}"/>
    <cellStyle name="Currency 3 6 2" xfId="137" xr:uid="{00000000-0005-0000-0000-000088000000}"/>
    <cellStyle name="Currency 3 7" xfId="138" xr:uid="{00000000-0005-0000-0000-000089000000}"/>
    <cellStyle name="Currency 3 8" xfId="139" xr:uid="{00000000-0005-0000-0000-00008A000000}"/>
    <cellStyle name="Currency 3 8 2" xfId="140" xr:uid="{00000000-0005-0000-0000-00008B000000}"/>
    <cellStyle name="Currency 3 9" xfId="141" xr:uid="{00000000-0005-0000-0000-00008C000000}"/>
    <cellStyle name="Currency 4" xfId="142" xr:uid="{00000000-0005-0000-0000-00008D000000}"/>
    <cellStyle name="Currency 4 2" xfId="143" xr:uid="{00000000-0005-0000-0000-00008E000000}"/>
    <cellStyle name="Currency 5" xfId="144" xr:uid="{00000000-0005-0000-0000-00008F000000}"/>
    <cellStyle name="Currency 5 2" xfId="145" xr:uid="{00000000-0005-0000-0000-000090000000}"/>
    <cellStyle name="Currency 6" xfId="146" xr:uid="{00000000-0005-0000-0000-000091000000}"/>
    <cellStyle name="Currency 7" xfId="147" xr:uid="{00000000-0005-0000-0000-000092000000}"/>
    <cellStyle name="Currency 8" xfId="148" xr:uid="{00000000-0005-0000-0000-000093000000}"/>
    <cellStyle name="Currency 8 2" xfId="149" xr:uid="{00000000-0005-0000-0000-000094000000}"/>
    <cellStyle name="Currency 9" xfId="150" xr:uid="{00000000-0005-0000-0000-000095000000}"/>
    <cellStyle name="Currency0" xfId="151" xr:uid="{00000000-0005-0000-0000-000096000000}"/>
    <cellStyle name="Date" xfId="152" xr:uid="{00000000-0005-0000-0000-000097000000}"/>
    <cellStyle name="Explanatory Text" xfId="153" builtinId="53" customBuiltin="1"/>
    <cellStyle name="Explanatory Text 2" xfId="154" xr:uid="{00000000-0005-0000-0000-000099000000}"/>
    <cellStyle name="Fixed" xfId="155" xr:uid="{00000000-0005-0000-0000-00009A000000}"/>
    <cellStyle name="Good" xfId="156" builtinId="26" customBuiltin="1"/>
    <cellStyle name="Good 2" xfId="157" xr:uid="{00000000-0005-0000-0000-00009C000000}"/>
    <cellStyle name="Heading 1" xfId="158" builtinId="16" customBuiltin="1"/>
    <cellStyle name="Heading 1 2" xfId="159" xr:uid="{00000000-0005-0000-0000-00009E000000}"/>
    <cellStyle name="Heading 2" xfId="160" builtinId="17" customBuiltin="1"/>
    <cellStyle name="Heading 2 2" xfId="161" xr:uid="{00000000-0005-0000-0000-0000A0000000}"/>
    <cellStyle name="Heading 3" xfId="162" builtinId="18" customBuiltin="1"/>
    <cellStyle name="Heading 3 2" xfId="163" xr:uid="{00000000-0005-0000-0000-0000A2000000}"/>
    <cellStyle name="Heading 4" xfId="164" builtinId="19" customBuiltin="1"/>
    <cellStyle name="Heading 4 2" xfId="165" xr:uid="{00000000-0005-0000-0000-0000A4000000}"/>
    <cellStyle name="Heading1" xfId="166" xr:uid="{00000000-0005-0000-0000-0000A5000000}"/>
    <cellStyle name="Heading2" xfId="167" xr:uid="{00000000-0005-0000-0000-0000A6000000}"/>
    <cellStyle name="Input" xfId="168" builtinId="20" customBuiltin="1"/>
    <cellStyle name="Input 2" xfId="169" xr:uid="{00000000-0005-0000-0000-0000A8000000}"/>
    <cellStyle name="Linked Cell" xfId="170" builtinId="24" customBuiltin="1"/>
    <cellStyle name="Linked Cell 2" xfId="171" xr:uid="{00000000-0005-0000-0000-0000AA000000}"/>
    <cellStyle name="Neutral" xfId="172" builtinId="28" customBuiltin="1"/>
    <cellStyle name="Neutral 2" xfId="173" xr:uid="{00000000-0005-0000-0000-0000AC000000}"/>
    <cellStyle name="Normal" xfId="0" builtinId="0"/>
    <cellStyle name="Normal 10" xfId="174" xr:uid="{00000000-0005-0000-0000-0000AE000000}"/>
    <cellStyle name="Normal 10 2" xfId="175" xr:uid="{00000000-0005-0000-0000-0000AF000000}"/>
    <cellStyle name="Normal 10 3" xfId="176" xr:uid="{00000000-0005-0000-0000-0000B0000000}"/>
    <cellStyle name="Normal 11" xfId="177" xr:uid="{00000000-0005-0000-0000-0000B1000000}"/>
    <cellStyle name="Normal 11 2" xfId="178" xr:uid="{00000000-0005-0000-0000-0000B2000000}"/>
    <cellStyle name="Normal 11 2 2" xfId="374" xr:uid="{1901A48D-42C1-4CB2-92CA-B4CA6AB64854}"/>
    <cellStyle name="Normal 11 3" xfId="179" xr:uid="{00000000-0005-0000-0000-0000B3000000}"/>
    <cellStyle name="Normal 12" xfId="180" xr:uid="{00000000-0005-0000-0000-0000B4000000}"/>
    <cellStyle name="Normal 12 2" xfId="181" xr:uid="{00000000-0005-0000-0000-0000B5000000}"/>
    <cellStyle name="Normal 12 4" xfId="182" xr:uid="{00000000-0005-0000-0000-0000B6000000}"/>
    <cellStyle name="Normal 13" xfId="183" xr:uid="{00000000-0005-0000-0000-0000B7000000}"/>
    <cellStyle name="Normal 13 2" xfId="184" xr:uid="{00000000-0005-0000-0000-0000B8000000}"/>
    <cellStyle name="Normal 14" xfId="185" xr:uid="{00000000-0005-0000-0000-0000B9000000}"/>
    <cellStyle name="Normal 14 2" xfId="186" xr:uid="{00000000-0005-0000-0000-0000BA000000}"/>
    <cellStyle name="Normal 15" xfId="187" xr:uid="{00000000-0005-0000-0000-0000BB000000}"/>
    <cellStyle name="Normal 16" xfId="188" xr:uid="{00000000-0005-0000-0000-0000BC000000}"/>
    <cellStyle name="Normal 16 2" xfId="189" xr:uid="{00000000-0005-0000-0000-0000BD000000}"/>
    <cellStyle name="Normal 17" xfId="190" xr:uid="{00000000-0005-0000-0000-0000BE000000}"/>
    <cellStyle name="Normal 17 2" xfId="191" xr:uid="{00000000-0005-0000-0000-0000BF000000}"/>
    <cellStyle name="Normal 18" xfId="192" xr:uid="{00000000-0005-0000-0000-0000C0000000}"/>
    <cellStyle name="Normal 18 2" xfId="193" xr:uid="{00000000-0005-0000-0000-0000C1000000}"/>
    <cellStyle name="Normal 19" xfId="194" xr:uid="{00000000-0005-0000-0000-0000C2000000}"/>
    <cellStyle name="Normal 19 2" xfId="195" xr:uid="{00000000-0005-0000-0000-0000C3000000}"/>
    <cellStyle name="Normal 2" xfId="196" xr:uid="{00000000-0005-0000-0000-0000C4000000}"/>
    <cellStyle name="Normal 2 2" xfId="197" xr:uid="{00000000-0005-0000-0000-0000C5000000}"/>
    <cellStyle name="Normal 2 2 2" xfId="198" xr:uid="{00000000-0005-0000-0000-0000C6000000}"/>
    <cellStyle name="Normal 2 2 3" xfId="199" xr:uid="{00000000-0005-0000-0000-0000C7000000}"/>
    <cellStyle name="Normal 2 2 4" xfId="200" xr:uid="{00000000-0005-0000-0000-0000C8000000}"/>
    <cellStyle name="Normal 2 3" xfId="201" xr:uid="{00000000-0005-0000-0000-0000C9000000}"/>
    <cellStyle name="Normal 2 4" xfId="384" xr:uid="{A1DA1FF5-7031-4693-B2C2-DFED91CD5CCB}"/>
    <cellStyle name="Normal 2 5" xfId="202" xr:uid="{00000000-0005-0000-0000-0000CA000000}"/>
    <cellStyle name="Normal 2 5 2" xfId="203" xr:uid="{00000000-0005-0000-0000-0000CB000000}"/>
    <cellStyle name="Normal 20" xfId="204" xr:uid="{00000000-0005-0000-0000-0000CC000000}"/>
    <cellStyle name="Normal 20 2" xfId="205" xr:uid="{00000000-0005-0000-0000-0000CD000000}"/>
    <cellStyle name="Normal 21" xfId="206" xr:uid="{00000000-0005-0000-0000-0000CE000000}"/>
    <cellStyle name="Normal 21 2" xfId="207" xr:uid="{00000000-0005-0000-0000-0000CF000000}"/>
    <cellStyle name="Normal 22" xfId="208" xr:uid="{00000000-0005-0000-0000-0000D0000000}"/>
    <cellStyle name="Normal 22 2" xfId="209" xr:uid="{00000000-0005-0000-0000-0000D1000000}"/>
    <cellStyle name="Normal 23" xfId="210" xr:uid="{00000000-0005-0000-0000-0000D2000000}"/>
    <cellStyle name="Normal 23 2" xfId="211" xr:uid="{00000000-0005-0000-0000-0000D3000000}"/>
    <cellStyle name="Normal 24" xfId="212" xr:uid="{00000000-0005-0000-0000-0000D4000000}"/>
    <cellStyle name="Normal 24 2" xfId="213" xr:uid="{00000000-0005-0000-0000-0000D5000000}"/>
    <cellStyle name="Normal 25" xfId="214" xr:uid="{00000000-0005-0000-0000-0000D6000000}"/>
    <cellStyle name="Normal 25 2" xfId="215" xr:uid="{00000000-0005-0000-0000-0000D7000000}"/>
    <cellStyle name="Normal 26" xfId="216" xr:uid="{00000000-0005-0000-0000-0000D8000000}"/>
    <cellStyle name="Normal 26 2" xfId="217" xr:uid="{00000000-0005-0000-0000-0000D9000000}"/>
    <cellStyle name="Normal 27" xfId="218" xr:uid="{00000000-0005-0000-0000-0000DA000000}"/>
    <cellStyle name="Normal 28" xfId="219" xr:uid="{00000000-0005-0000-0000-0000DB000000}"/>
    <cellStyle name="Normal 28 2" xfId="220" xr:uid="{00000000-0005-0000-0000-0000DC000000}"/>
    <cellStyle name="Normal 29" xfId="221" xr:uid="{00000000-0005-0000-0000-0000DD000000}"/>
    <cellStyle name="Normal 29 2" xfId="222" xr:uid="{00000000-0005-0000-0000-0000DE000000}"/>
    <cellStyle name="Normal 3" xfId="223" xr:uid="{00000000-0005-0000-0000-0000DF000000}"/>
    <cellStyle name="Normal 3 2" xfId="224" xr:uid="{00000000-0005-0000-0000-0000E0000000}"/>
    <cellStyle name="Normal 3 2 2" xfId="385" xr:uid="{4960A8CB-3DD4-402E-B5D6-02E4CCB9372D}"/>
    <cellStyle name="Normal 3 3" xfId="225" xr:uid="{00000000-0005-0000-0000-0000E1000000}"/>
    <cellStyle name="Normal 3_Attach O, GG, Support -New Method 2-14-11" xfId="226" xr:uid="{00000000-0005-0000-0000-0000E2000000}"/>
    <cellStyle name="Normal 31" xfId="227" xr:uid="{00000000-0005-0000-0000-0000E3000000}"/>
    <cellStyle name="Normal 31 2" xfId="228" xr:uid="{00000000-0005-0000-0000-0000E4000000}"/>
    <cellStyle name="Normal 31 2 2" xfId="363" xr:uid="{9261FC07-0395-46C0-850B-513C1154844D}"/>
    <cellStyle name="Normal 32" xfId="370" xr:uid="{C1532A41-67D9-46D1-9CBE-B0AC1F195074}"/>
    <cellStyle name="Normal 33" xfId="229" xr:uid="{00000000-0005-0000-0000-0000E5000000}"/>
    <cellStyle name="Normal 33 2" xfId="362" xr:uid="{76E7FD4F-94DC-448B-8741-C8FE2CCF5533}"/>
    <cellStyle name="Normal 33 3" xfId="371" xr:uid="{CF51F9FF-1B72-473F-A126-CA429AF85413}"/>
    <cellStyle name="Normal 34" xfId="366" xr:uid="{A4F9F21B-BC17-48AB-A287-3CB2E48346F0}"/>
    <cellStyle name="Normal 35" xfId="372" xr:uid="{8034BE6D-037E-4E19-A133-F4B037120D02}"/>
    <cellStyle name="Normal 37" xfId="375" xr:uid="{76B19F52-B289-4B88-BD17-DB037B155B53}"/>
    <cellStyle name="Normal 38" xfId="376" xr:uid="{B5BCB1C5-6A89-48A6-B174-76863E0B1F44}"/>
    <cellStyle name="Normal 39" xfId="377" xr:uid="{B9E99CFB-A7A0-4940-87A7-CE407658A840}"/>
    <cellStyle name="Normal 4" xfId="230" xr:uid="{00000000-0005-0000-0000-0000E6000000}"/>
    <cellStyle name="Normal 4 10" xfId="231" xr:uid="{00000000-0005-0000-0000-0000E7000000}"/>
    <cellStyle name="Normal 4 10 2" xfId="383" xr:uid="{12ADE1D4-9579-4EA6-8455-E01A3597DC3B}"/>
    <cellStyle name="Normal 4 2" xfId="232" xr:uid="{00000000-0005-0000-0000-0000E8000000}"/>
    <cellStyle name="Normal 4 3" xfId="233" xr:uid="{00000000-0005-0000-0000-0000E9000000}"/>
    <cellStyle name="Normal 4 3 2" xfId="234" xr:uid="{00000000-0005-0000-0000-0000EA000000}"/>
    <cellStyle name="Normal 4 3 3" xfId="235" xr:uid="{00000000-0005-0000-0000-0000EB000000}"/>
    <cellStyle name="Normal 4 4" xfId="236" xr:uid="{00000000-0005-0000-0000-0000EC000000}"/>
    <cellStyle name="Normal 4 4 2" xfId="237" xr:uid="{00000000-0005-0000-0000-0000ED000000}"/>
    <cellStyle name="Normal 4 4 3" xfId="238" xr:uid="{00000000-0005-0000-0000-0000EE000000}"/>
    <cellStyle name="Normal 4 5" xfId="239" xr:uid="{00000000-0005-0000-0000-0000EF000000}"/>
    <cellStyle name="Normal 4 6" xfId="240" xr:uid="{00000000-0005-0000-0000-0000F0000000}"/>
    <cellStyle name="Normal 4 6 2" xfId="241" xr:uid="{00000000-0005-0000-0000-0000F1000000}"/>
    <cellStyle name="Normal 4 7" xfId="242" xr:uid="{00000000-0005-0000-0000-0000F2000000}"/>
    <cellStyle name="Normal 4 7 2" xfId="243" xr:uid="{00000000-0005-0000-0000-0000F3000000}"/>
    <cellStyle name="Normal 4 8" xfId="244" xr:uid="{00000000-0005-0000-0000-0000F4000000}"/>
    <cellStyle name="Normal 4 9" xfId="245" xr:uid="{00000000-0005-0000-0000-0000F5000000}"/>
    <cellStyle name="Normal 4 9 2" xfId="246" xr:uid="{00000000-0005-0000-0000-0000F6000000}"/>
    <cellStyle name="Normal 4_PBOP Exhibit 1" xfId="247" xr:uid="{00000000-0005-0000-0000-0000F7000000}"/>
    <cellStyle name="Normal 40" xfId="378" xr:uid="{D02CE743-8DB9-4206-82C5-BD10E6928582}"/>
    <cellStyle name="Normal 41" xfId="379" xr:uid="{89DE0FAA-3607-42DB-898A-44D3109BD418}"/>
    <cellStyle name="Normal 42" xfId="380" xr:uid="{6E6F7588-A975-4BFB-A4F4-6623A53939BC}"/>
    <cellStyle name="Normal 43" xfId="381" xr:uid="{49E77742-24CF-490F-AD3D-819C39857B31}"/>
    <cellStyle name="Normal 5" xfId="248" xr:uid="{00000000-0005-0000-0000-0000F8000000}"/>
    <cellStyle name="Normal 5 2" xfId="249" xr:uid="{00000000-0005-0000-0000-0000F9000000}"/>
    <cellStyle name="Normal 5 2 2" xfId="250" xr:uid="{00000000-0005-0000-0000-0000FA000000}"/>
    <cellStyle name="Normal 5 3" xfId="251" xr:uid="{00000000-0005-0000-0000-0000FB000000}"/>
    <cellStyle name="Normal 5 4" xfId="252" xr:uid="{00000000-0005-0000-0000-0000FC000000}"/>
    <cellStyle name="Normal 6" xfId="253" xr:uid="{00000000-0005-0000-0000-0000FD000000}"/>
    <cellStyle name="Normal 6 2" xfId="254" xr:uid="{00000000-0005-0000-0000-0000FE000000}"/>
    <cellStyle name="Normal 6 2 2" xfId="255" xr:uid="{00000000-0005-0000-0000-0000FF000000}"/>
    <cellStyle name="Normal 6 2 3" xfId="256" xr:uid="{00000000-0005-0000-0000-000000010000}"/>
    <cellStyle name="Normal 6 3" xfId="257" xr:uid="{00000000-0005-0000-0000-000001010000}"/>
    <cellStyle name="Normal 6 3 2" xfId="258" xr:uid="{00000000-0005-0000-0000-000002010000}"/>
    <cellStyle name="Normal 6 4" xfId="259" xr:uid="{00000000-0005-0000-0000-000003010000}"/>
    <cellStyle name="Normal 6 4 2" xfId="260" xr:uid="{00000000-0005-0000-0000-000004010000}"/>
    <cellStyle name="Normal 7" xfId="261" xr:uid="{00000000-0005-0000-0000-000005010000}"/>
    <cellStyle name="Normal 7 2" xfId="262" xr:uid="{00000000-0005-0000-0000-000006010000}"/>
    <cellStyle name="Normal 8" xfId="263" xr:uid="{00000000-0005-0000-0000-000007010000}"/>
    <cellStyle name="Normal 8 2" xfId="264" xr:uid="{00000000-0005-0000-0000-000008010000}"/>
    <cellStyle name="Normal 9" xfId="265" xr:uid="{00000000-0005-0000-0000-000009010000}"/>
    <cellStyle name="Normal 9 2" xfId="266" xr:uid="{00000000-0005-0000-0000-00000A010000}"/>
    <cellStyle name="Normal_21 Exh B" xfId="267" xr:uid="{00000000-0005-0000-0000-00000B010000}"/>
    <cellStyle name="Normal_ADITAnalysisID090805" xfId="268" xr:uid="{00000000-0005-0000-0000-00000C010000}"/>
    <cellStyle name="Normal_ADITAnalysisID090805 2" xfId="269" xr:uid="{00000000-0005-0000-0000-00000D010000}"/>
    <cellStyle name="Normal_ADITAnalysisID090805 2 2" xfId="270" xr:uid="{00000000-0005-0000-0000-00000E010000}"/>
    <cellStyle name="Normal_ADITAnalysisID090805 2 2 2" xfId="271" xr:uid="{00000000-0005-0000-0000-00000F010000}"/>
    <cellStyle name="Normal_ADITAnalysisID090805 3" xfId="272" xr:uid="{00000000-0005-0000-0000-000010010000}"/>
    <cellStyle name="Normal_ADITAnalysisID090805 4 2" xfId="273" xr:uid="{00000000-0005-0000-0000-000011010000}"/>
    <cellStyle name="Normal_ATC Projected 2008 Monthly Plant Balances for Attachment O 2 (2)" xfId="274" xr:uid="{00000000-0005-0000-0000-000012010000}"/>
    <cellStyle name="Normal_AU Period 2 Rev 4-27-00" xfId="275" xr:uid="{00000000-0005-0000-0000-000013010000}"/>
    <cellStyle name="Normal_DeprRateAuth East Dave Davis 2 2" xfId="373" xr:uid="{803BF407-A384-4AC4-8B53-CC340CAF89AB}"/>
    <cellStyle name="Normal_FN1 Ratebase Draft SPP template (6-11-04) v2" xfId="276" xr:uid="{00000000-0005-0000-0000-000015010000}"/>
    <cellStyle name="Normal_I&amp;M-AK-1" xfId="277" xr:uid="{00000000-0005-0000-0000-000016010000}"/>
    <cellStyle name="Normal_Revised 1-21-10  Deprec Summary" xfId="278" xr:uid="{00000000-0005-0000-0000-000017010000}"/>
    <cellStyle name="Normal_Schedule O Info for Mike" xfId="279" xr:uid="{00000000-0005-0000-0000-000018010000}"/>
    <cellStyle name="Normal_spp calc - revsd rev crd" xfId="280" xr:uid="{00000000-0005-0000-0000-000019010000}"/>
    <cellStyle name="Note" xfId="281" builtinId="10" customBuiltin="1"/>
    <cellStyle name="Note 2" xfId="282" xr:uid="{00000000-0005-0000-0000-00001B010000}"/>
    <cellStyle name="Output" xfId="283" builtinId="21" customBuiltin="1"/>
    <cellStyle name="Output 2" xfId="284" xr:uid="{00000000-0005-0000-0000-00001D010000}"/>
    <cellStyle name="Percent" xfId="285" builtinId="5"/>
    <cellStyle name="Percent 10" xfId="286" xr:uid="{00000000-0005-0000-0000-00001F010000}"/>
    <cellStyle name="Percent 11" xfId="287" xr:uid="{00000000-0005-0000-0000-000020010000}"/>
    <cellStyle name="Percent 12" xfId="365" xr:uid="{61EB2BBC-ECA4-412F-9051-802708DA5300}"/>
    <cellStyle name="Percent 13" xfId="367" xr:uid="{BFA30CE9-6704-47E3-9503-FC9EE2458918}"/>
    <cellStyle name="Percent 2" xfId="288" xr:uid="{00000000-0005-0000-0000-000021010000}"/>
    <cellStyle name="Percent 2 2" xfId="289" xr:uid="{00000000-0005-0000-0000-000022010000}"/>
    <cellStyle name="Percent 3" xfId="290" xr:uid="{00000000-0005-0000-0000-000023010000}"/>
    <cellStyle name="Percent 3 2" xfId="291" xr:uid="{00000000-0005-0000-0000-000024010000}"/>
    <cellStyle name="Percent 3 3" xfId="292" xr:uid="{00000000-0005-0000-0000-000025010000}"/>
    <cellStyle name="Percent 3 3 2" xfId="293" xr:uid="{00000000-0005-0000-0000-000026010000}"/>
    <cellStyle name="Percent 3 3 3" xfId="294" xr:uid="{00000000-0005-0000-0000-000027010000}"/>
    <cellStyle name="Percent 3 4" xfId="295" xr:uid="{00000000-0005-0000-0000-000028010000}"/>
    <cellStyle name="Percent 3 4 2" xfId="296" xr:uid="{00000000-0005-0000-0000-000029010000}"/>
    <cellStyle name="Percent 3 4 3" xfId="297" xr:uid="{00000000-0005-0000-0000-00002A010000}"/>
    <cellStyle name="Percent 3 5" xfId="298" xr:uid="{00000000-0005-0000-0000-00002B010000}"/>
    <cellStyle name="Percent 3 6" xfId="299" xr:uid="{00000000-0005-0000-0000-00002C010000}"/>
    <cellStyle name="Percent 3 6 2" xfId="300" xr:uid="{00000000-0005-0000-0000-00002D010000}"/>
    <cellStyle name="Percent 3 7" xfId="301" xr:uid="{00000000-0005-0000-0000-00002E010000}"/>
    <cellStyle name="Percent 3 8" xfId="302" xr:uid="{00000000-0005-0000-0000-00002F010000}"/>
    <cellStyle name="Percent 3 8 2" xfId="303" xr:uid="{00000000-0005-0000-0000-000030010000}"/>
    <cellStyle name="Percent 3 9" xfId="304" xr:uid="{00000000-0005-0000-0000-000031010000}"/>
    <cellStyle name="Percent 4" xfId="305" xr:uid="{00000000-0005-0000-0000-000032010000}"/>
    <cellStyle name="Percent 4 2" xfId="306" xr:uid="{00000000-0005-0000-0000-000033010000}"/>
    <cellStyle name="Percent 4 3" xfId="307" xr:uid="{00000000-0005-0000-0000-000034010000}"/>
    <cellStyle name="Percent 5" xfId="308" xr:uid="{00000000-0005-0000-0000-000035010000}"/>
    <cellStyle name="Percent 5 2" xfId="309" xr:uid="{00000000-0005-0000-0000-000036010000}"/>
    <cellStyle name="Percent 6" xfId="310" xr:uid="{00000000-0005-0000-0000-000037010000}"/>
    <cellStyle name="Percent 7" xfId="311" xr:uid="{00000000-0005-0000-0000-000038010000}"/>
    <cellStyle name="Percent 7 2" xfId="312" xr:uid="{00000000-0005-0000-0000-000039010000}"/>
    <cellStyle name="Percent 7 3" xfId="313" xr:uid="{00000000-0005-0000-0000-00003A010000}"/>
    <cellStyle name="Percent 8" xfId="314" xr:uid="{00000000-0005-0000-0000-00003B010000}"/>
    <cellStyle name="Percent 9" xfId="315" xr:uid="{00000000-0005-0000-0000-00003C010000}"/>
    <cellStyle name="Percent 9 2" xfId="316" xr:uid="{00000000-0005-0000-0000-00003D010000}"/>
    <cellStyle name="PSChar" xfId="317" xr:uid="{00000000-0005-0000-0000-00003E010000}"/>
    <cellStyle name="PSDate" xfId="318" xr:uid="{00000000-0005-0000-0000-00003F010000}"/>
    <cellStyle name="PSDec" xfId="319" xr:uid="{00000000-0005-0000-0000-000040010000}"/>
    <cellStyle name="PSdesc" xfId="320" xr:uid="{00000000-0005-0000-0000-000041010000}"/>
    <cellStyle name="PSHeading" xfId="321" xr:uid="{00000000-0005-0000-0000-000042010000}"/>
    <cellStyle name="PSInt" xfId="322" xr:uid="{00000000-0005-0000-0000-000043010000}"/>
    <cellStyle name="PSSpacer" xfId="323" xr:uid="{00000000-0005-0000-0000-000044010000}"/>
    <cellStyle name="PStest" xfId="324" xr:uid="{00000000-0005-0000-0000-000045010000}"/>
    <cellStyle name="R00A" xfId="325" xr:uid="{00000000-0005-0000-0000-000046010000}"/>
    <cellStyle name="R00B" xfId="326" xr:uid="{00000000-0005-0000-0000-000047010000}"/>
    <cellStyle name="R00L" xfId="327" xr:uid="{00000000-0005-0000-0000-000048010000}"/>
    <cellStyle name="R01A" xfId="328" xr:uid="{00000000-0005-0000-0000-000049010000}"/>
    <cellStyle name="R01B" xfId="329" xr:uid="{00000000-0005-0000-0000-00004A010000}"/>
    <cellStyle name="R01H" xfId="330" xr:uid="{00000000-0005-0000-0000-00004B010000}"/>
    <cellStyle name="R01L" xfId="331" xr:uid="{00000000-0005-0000-0000-00004C010000}"/>
    <cellStyle name="R02A" xfId="332" xr:uid="{00000000-0005-0000-0000-00004D010000}"/>
    <cellStyle name="R02B" xfId="333" xr:uid="{00000000-0005-0000-0000-00004E010000}"/>
    <cellStyle name="R02H" xfId="334" xr:uid="{00000000-0005-0000-0000-00004F010000}"/>
    <cellStyle name="R02L" xfId="335" xr:uid="{00000000-0005-0000-0000-000050010000}"/>
    <cellStyle name="R03A" xfId="336" xr:uid="{00000000-0005-0000-0000-000051010000}"/>
    <cellStyle name="R03B" xfId="337" xr:uid="{00000000-0005-0000-0000-000052010000}"/>
    <cellStyle name="R03H" xfId="338" xr:uid="{00000000-0005-0000-0000-000053010000}"/>
    <cellStyle name="R03L" xfId="339" xr:uid="{00000000-0005-0000-0000-000054010000}"/>
    <cellStyle name="R04A" xfId="340" xr:uid="{00000000-0005-0000-0000-000055010000}"/>
    <cellStyle name="R04B" xfId="341" xr:uid="{00000000-0005-0000-0000-000056010000}"/>
    <cellStyle name="R04H" xfId="342" xr:uid="{00000000-0005-0000-0000-000057010000}"/>
    <cellStyle name="R04L" xfId="343" xr:uid="{00000000-0005-0000-0000-000058010000}"/>
    <cellStyle name="R05A" xfId="344" xr:uid="{00000000-0005-0000-0000-000059010000}"/>
    <cellStyle name="R05B" xfId="345" xr:uid="{00000000-0005-0000-0000-00005A010000}"/>
    <cellStyle name="R05H" xfId="346" xr:uid="{00000000-0005-0000-0000-00005B010000}"/>
    <cellStyle name="R05L" xfId="347" xr:uid="{00000000-0005-0000-0000-00005C010000}"/>
    <cellStyle name="R06A" xfId="348" xr:uid="{00000000-0005-0000-0000-00005D010000}"/>
    <cellStyle name="R06B" xfId="349" xr:uid="{00000000-0005-0000-0000-00005E010000}"/>
    <cellStyle name="R06H" xfId="350" xr:uid="{00000000-0005-0000-0000-00005F010000}"/>
    <cellStyle name="R06L" xfId="351" xr:uid="{00000000-0005-0000-0000-000060010000}"/>
    <cellStyle name="R07A" xfId="352" xr:uid="{00000000-0005-0000-0000-000061010000}"/>
    <cellStyle name="R07B" xfId="353" xr:uid="{00000000-0005-0000-0000-000062010000}"/>
    <cellStyle name="R07H" xfId="354" xr:uid="{00000000-0005-0000-0000-000063010000}"/>
    <cellStyle name="R07L" xfId="355" xr:uid="{00000000-0005-0000-0000-000064010000}"/>
    <cellStyle name="Title" xfId="356" builtinId="15" customBuiltin="1"/>
    <cellStyle name="Title 2" xfId="357" xr:uid="{00000000-0005-0000-0000-000066010000}"/>
    <cellStyle name="Total" xfId="358" builtinId="25" customBuiltin="1"/>
    <cellStyle name="Total 2" xfId="359" xr:uid="{00000000-0005-0000-0000-000068010000}"/>
    <cellStyle name="Warning Text" xfId="360" builtinId="11" customBuiltin="1"/>
    <cellStyle name="Warning Text 2" xfId="361" xr:uid="{00000000-0005-0000-0000-00006A010000}"/>
  </cellStyles>
  <dxfs count="31">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393"/>
  <sheetViews>
    <sheetView tabSelected="1" view="pageBreakPreview" zoomScale="70" zoomScaleNormal="85" zoomScaleSheetLayoutView="70" zoomScalePageLayoutView="50" workbookViewId="0">
      <selection activeCell="D4" sqref="D4"/>
    </sheetView>
  </sheetViews>
  <sheetFormatPr defaultColWidth="11.42578125" defaultRowHeight="12.75" customHeight="1"/>
  <cols>
    <col min="1" max="1" width="4.7109375" customWidth="1"/>
    <col min="2" max="2" width="7.85546875" customWidth="1"/>
    <col min="3" max="3" width="1.85546875" customWidth="1"/>
    <col min="4" max="4" width="70.140625" customWidth="1"/>
    <col min="5" max="5" width="25.7109375" customWidth="1"/>
    <col min="6" max="6" width="22.28515625" customWidth="1"/>
    <col min="7" max="7" width="24.140625" customWidth="1"/>
    <col min="8" max="8" width="16.140625" customWidth="1"/>
    <col min="9" max="9" width="11.28515625" customWidth="1"/>
    <col min="10" max="10" width="21.5703125" bestFit="1" customWidth="1"/>
    <col min="11" max="11" width="4.7109375" customWidth="1"/>
    <col min="12" max="12" width="23" customWidth="1"/>
    <col min="13" max="17" width="11.42578125" customWidth="1"/>
  </cols>
  <sheetData>
    <row r="1" spans="1:12" ht="15.75">
      <c r="A1" s="581" t="s">
        <v>114</v>
      </c>
      <c r="B1" s="198"/>
      <c r="C1" s="199"/>
      <c r="D1" s="199"/>
      <c r="E1" s="199"/>
      <c r="F1" s="199"/>
      <c r="G1" s="199"/>
      <c r="H1" s="199"/>
      <c r="I1" s="199"/>
      <c r="J1" s="199"/>
      <c r="K1" s="199"/>
      <c r="L1" s="199"/>
    </row>
    <row r="2" spans="1:12" ht="15.75">
      <c r="A2" s="581" t="s">
        <v>114</v>
      </c>
      <c r="B2" s="198"/>
      <c r="C2" s="199"/>
      <c r="D2" s="199"/>
      <c r="E2" s="199"/>
      <c r="F2" s="199"/>
      <c r="G2" s="199"/>
      <c r="H2" s="199"/>
      <c r="I2" s="199"/>
      <c r="J2" s="199"/>
      <c r="K2" s="199"/>
      <c r="L2" s="199"/>
    </row>
    <row r="3" spans="1:12" ht="15.75">
      <c r="A3" s="199"/>
      <c r="B3" s="198"/>
      <c r="C3" s="199"/>
      <c r="E3" s="200"/>
      <c r="F3" s="200"/>
      <c r="G3" s="201"/>
      <c r="H3" s="199"/>
      <c r="I3" s="202"/>
      <c r="J3" s="202"/>
      <c r="K3" s="202"/>
      <c r="L3" s="199"/>
    </row>
    <row r="4" spans="1:12" ht="15">
      <c r="A4" s="199"/>
      <c r="B4" s="198"/>
      <c r="C4" s="199"/>
      <c r="D4" s="199"/>
      <c r="E4" s="199"/>
      <c r="F4" s="199"/>
      <c r="G4" s="199"/>
      <c r="H4" s="199"/>
      <c r="I4" s="199"/>
      <c r="J4" s="199" t="s">
        <v>817</v>
      </c>
      <c r="K4" s="199"/>
      <c r="L4" s="536">
        <v>2026</v>
      </c>
    </row>
    <row r="5" spans="1:12" ht="15">
      <c r="A5" s="199"/>
      <c r="B5" s="198"/>
      <c r="C5" s="199"/>
      <c r="D5" s="203"/>
      <c r="E5" s="203"/>
      <c r="F5" s="24" t="s">
        <v>385</v>
      </c>
      <c r="G5" s="2"/>
      <c r="H5" s="2"/>
      <c r="I5" s="199"/>
      <c r="J5" s="203"/>
      <c r="K5" s="203"/>
      <c r="L5" s="203"/>
    </row>
    <row r="6" spans="1:12" ht="15">
      <c r="A6" s="199"/>
      <c r="B6" s="198"/>
      <c r="C6" s="199"/>
      <c r="D6" s="203"/>
      <c r="E6" s="204"/>
      <c r="F6" s="24" t="s">
        <v>386</v>
      </c>
      <c r="G6" s="2"/>
      <c r="H6" s="2"/>
      <c r="I6" s="199"/>
      <c r="J6" s="204"/>
      <c r="K6" s="203"/>
      <c r="L6" s="203"/>
    </row>
    <row r="7" spans="1:12" ht="15">
      <c r="A7" s="199"/>
      <c r="B7" s="198"/>
      <c r="C7" s="199"/>
      <c r="D7" s="203"/>
      <c r="E7" s="203"/>
      <c r="F7" s="3" t="str">
        <f>"Utilizing  Actual/Projected FERC Form 1 Data"</f>
        <v>Utilizing  Actual/Projected FERC Form 1 Data</v>
      </c>
      <c r="G7" s="2"/>
      <c r="H7" s="2"/>
      <c r="I7" s="199"/>
      <c r="J7" s="203"/>
      <c r="K7" s="203"/>
      <c r="L7" s="203"/>
    </row>
    <row r="8" spans="1:12" ht="15">
      <c r="A8" s="199"/>
      <c r="B8" s="205"/>
      <c r="C8" s="206"/>
      <c r="D8" s="203"/>
      <c r="E8" s="199"/>
      <c r="F8" s="199"/>
      <c r="G8" s="199"/>
      <c r="H8" s="207"/>
      <c r="I8" s="207"/>
      <c r="J8" s="207"/>
      <c r="K8" s="207"/>
      <c r="L8" s="203"/>
    </row>
    <row r="9" spans="1:12" ht="15.75">
      <c r="A9" s="199"/>
      <c r="B9" s="205"/>
      <c r="C9" s="206"/>
      <c r="E9" s="203"/>
      <c r="F9" s="208" t="s">
        <v>861</v>
      </c>
      <c r="G9" s="209"/>
      <c r="H9" s="203"/>
      <c r="I9" s="203"/>
      <c r="J9" s="203"/>
      <c r="K9" s="203"/>
    </row>
    <row r="10" spans="1:12" ht="15">
      <c r="A10" s="199"/>
      <c r="B10" s="205"/>
      <c r="C10" s="206"/>
      <c r="D10" s="203"/>
      <c r="E10" s="203"/>
      <c r="F10" s="210"/>
      <c r="G10" s="209"/>
      <c r="H10" s="203"/>
      <c r="I10" s="203"/>
      <c r="J10" s="203"/>
      <c r="K10" s="203"/>
    </row>
    <row r="11" spans="1:12" ht="15">
      <c r="A11" s="199"/>
      <c r="B11" s="205" t="s">
        <v>169</v>
      </c>
      <c r="C11" s="206"/>
      <c r="D11" s="203"/>
      <c r="E11" s="203"/>
      <c r="F11" s="203"/>
      <c r="G11" s="209"/>
      <c r="H11" s="203"/>
      <c r="I11" s="203"/>
      <c r="J11" s="203"/>
      <c r="K11" s="203"/>
      <c r="L11" s="206" t="s">
        <v>115</v>
      </c>
    </row>
    <row r="12" spans="1:12" ht="15.75" thickBot="1">
      <c r="A12" s="199"/>
      <c r="B12" s="211" t="s">
        <v>117</v>
      </c>
      <c r="C12" s="206"/>
      <c r="D12" s="203"/>
      <c r="E12" s="206"/>
      <c r="F12" s="203"/>
      <c r="G12" s="203"/>
      <c r="H12" s="203"/>
      <c r="I12" s="203"/>
      <c r="J12" s="203"/>
      <c r="K12" s="203"/>
      <c r="L12" s="212" t="s">
        <v>170</v>
      </c>
    </row>
    <row r="13" spans="1:12" ht="15">
      <c r="A13" s="199"/>
      <c r="B13" s="205">
        <f>1</f>
        <v>1</v>
      </c>
      <c r="C13" s="206"/>
      <c r="D13" s="2" t="s">
        <v>111</v>
      </c>
      <c r="E13" s="203" t="str">
        <f>"(ln "&amp;B221&amp;")"</f>
        <v>(ln 130)</v>
      </c>
      <c r="F13" s="203"/>
      <c r="G13" s="204"/>
      <c r="H13" s="213"/>
      <c r="I13" s="203"/>
      <c r="J13" s="203"/>
      <c r="K13" s="203"/>
      <c r="L13" s="214">
        <f>+L221</f>
        <v>609212609.686764</v>
      </c>
    </row>
    <row r="14" spans="1:12" ht="15.75" thickBot="1">
      <c r="A14" s="199"/>
      <c r="B14" s="205"/>
      <c r="C14" s="206"/>
      <c r="D14" s="199"/>
      <c r="E14" s="215"/>
      <c r="F14" s="204"/>
      <c r="G14" s="212" t="s">
        <v>118</v>
      </c>
      <c r="H14" s="204"/>
      <c r="I14" s="216" t="s">
        <v>119</v>
      </c>
      <c r="J14" s="216"/>
      <c r="K14" s="203"/>
      <c r="L14" s="204"/>
    </row>
    <row r="15" spans="1:12" ht="15">
      <c r="A15" s="199"/>
      <c r="B15" s="205">
        <f>+B13+1</f>
        <v>2</v>
      </c>
      <c r="C15" s="206"/>
      <c r="D15" s="2" t="s">
        <v>168</v>
      </c>
      <c r="E15" s="215" t="s">
        <v>613</v>
      </c>
      <c r="F15" s="204"/>
      <c r="G15" s="217">
        <f>+'WS E Rev Credits'!K31</f>
        <v>10684801.97192103</v>
      </c>
      <c r="H15" s="204"/>
      <c r="I15" s="218" t="s">
        <v>129</v>
      </c>
      <c r="J15" s="219">
        <v>1</v>
      </c>
      <c r="K15" s="204"/>
      <c r="L15" s="220">
        <f>+J15*G15</f>
        <v>10684801.97192103</v>
      </c>
    </row>
    <row r="16" spans="1:12" ht="15">
      <c r="A16" s="199"/>
      <c r="B16" s="205"/>
      <c r="C16" s="206"/>
      <c r="D16" s="2"/>
      <c r="E16" s="199"/>
      <c r="F16" s="204"/>
      <c r="G16" s="199"/>
      <c r="H16" s="199"/>
      <c r="I16" s="199"/>
      <c r="J16" s="199"/>
      <c r="K16" s="199"/>
      <c r="L16" s="221"/>
    </row>
    <row r="17" spans="1:12" ht="15">
      <c r="A17" s="199"/>
      <c r="B17" s="205"/>
      <c r="C17" s="206"/>
      <c r="D17" s="2"/>
      <c r="E17" s="199" t="s">
        <v>1205</v>
      </c>
      <c r="F17" s="204"/>
      <c r="G17" s="199"/>
      <c r="H17" s="199"/>
      <c r="I17" s="199"/>
      <c r="J17" s="199"/>
      <c r="K17" s="199"/>
      <c r="L17" s="199"/>
    </row>
    <row r="18" spans="1:12" ht="15">
      <c r="A18" s="199"/>
      <c r="B18" s="205">
        <f>+B15+1</f>
        <v>3</v>
      </c>
      <c r="C18" s="206"/>
      <c r="D18" s="2" t="s">
        <v>534</v>
      </c>
      <c r="E18" s="199" t="s">
        <v>614</v>
      </c>
      <c r="F18" s="204"/>
      <c r="G18" s="199"/>
      <c r="H18" s="199"/>
      <c r="I18" s="199"/>
      <c r="J18" s="199"/>
      <c r="K18" s="199"/>
      <c r="L18" s="220">
        <f>'WS E Rev Credits'!K39</f>
        <v>0</v>
      </c>
    </row>
    <row r="19" spans="1:12" ht="15">
      <c r="A19" s="199"/>
      <c r="B19" s="205"/>
      <c r="C19" s="206"/>
      <c r="D19" s="2"/>
      <c r="E19" s="199"/>
      <c r="F19" s="204"/>
      <c r="G19" s="199"/>
      <c r="H19" s="199"/>
      <c r="I19" s="199"/>
      <c r="J19" s="199"/>
      <c r="K19" s="199"/>
      <c r="L19" s="199"/>
    </row>
    <row r="20" spans="1:12" ht="15.75" thickBot="1">
      <c r="A20" s="199"/>
      <c r="B20" s="205">
        <f>+B18+1</f>
        <v>4</v>
      </c>
      <c r="C20" s="206"/>
      <c r="D20" s="222" t="s">
        <v>464</v>
      </c>
      <c r="E20" s="215" t="str">
        <f>"(ln "&amp;B13&amp;" less  ln " &amp;B15&amp;" plus ln "&amp;B18&amp;")"</f>
        <v>(ln 1 less  ln 2 plus ln 3)</v>
      </c>
      <c r="F20" s="203"/>
      <c r="G20" s="199"/>
      <c r="H20" s="204"/>
      <c r="I20" s="218"/>
      <c r="J20" s="204"/>
      <c r="K20" s="204"/>
      <c r="L20" s="223">
        <f>+L13-L15+L18</f>
        <v>598527807.71484292</v>
      </c>
    </row>
    <row r="21" spans="1:12" ht="15.75" thickTop="1">
      <c r="A21" s="199"/>
      <c r="B21" s="205"/>
      <c r="C21" s="206"/>
      <c r="D21" s="222"/>
      <c r="E21" s="215"/>
      <c r="F21" s="203"/>
      <c r="G21" s="199"/>
      <c r="H21" s="204"/>
      <c r="I21" s="218"/>
      <c r="J21" s="204"/>
      <c r="K21" s="204"/>
      <c r="L21" s="220"/>
    </row>
    <row r="22" spans="1:12" ht="15">
      <c r="A22" s="199"/>
      <c r="B22" s="205"/>
      <c r="C22" s="206"/>
      <c r="D22" s="222"/>
      <c r="E22" s="215"/>
      <c r="F22" s="203"/>
      <c r="G22" s="199"/>
      <c r="H22" s="204"/>
      <c r="I22" s="218"/>
      <c r="J22" s="204"/>
      <c r="K22" s="204"/>
      <c r="L22" s="220"/>
    </row>
    <row r="23" spans="1:12" ht="15">
      <c r="A23" s="199"/>
      <c r="B23" s="205"/>
      <c r="C23" s="206"/>
      <c r="D23" s="2"/>
      <c r="E23" s="215"/>
      <c r="F23" s="203"/>
      <c r="G23" s="199"/>
      <c r="H23" s="204"/>
      <c r="I23" s="218"/>
      <c r="J23" s="204"/>
      <c r="K23" s="204"/>
      <c r="L23" s="220"/>
    </row>
    <row r="24" spans="1:12" ht="15" customHeight="1">
      <c r="A24" s="199"/>
      <c r="B24" s="1209" t="str">
        <f>"MEMO:  The Carrying Charge Calculations on lines "&amp;B30&amp;" to "&amp;B37&amp;" below are used in calculating project revenue requirements billed through PJM Schedule 12, Transmission Enhancement Charges.  The total non-incentive revenue requirements for these projects shown on line "&amp;B27&amp;" is included in the total on line "&amp;B20&amp;"."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4" s="1209"/>
      <c r="D24" s="1209"/>
      <c r="E24" s="1209"/>
      <c r="F24" s="1209"/>
      <c r="G24" s="1209"/>
      <c r="H24" s="1209"/>
      <c r="I24" s="1209"/>
      <c r="J24" s="199"/>
      <c r="K24" s="199"/>
      <c r="L24" s="199"/>
    </row>
    <row r="25" spans="1:12" ht="35.25" customHeight="1">
      <c r="A25" s="199"/>
      <c r="B25" s="1209"/>
      <c r="C25" s="1209"/>
      <c r="D25" s="1209"/>
      <c r="E25" s="1209"/>
      <c r="F25" s="1209"/>
      <c r="G25" s="1209"/>
      <c r="H25" s="1209"/>
      <c r="I25" s="1209"/>
      <c r="J25" s="199"/>
      <c r="K25" s="199"/>
      <c r="L25" s="199"/>
    </row>
    <row r="26" spans="1:12" ht="15" customHeight="1">
      <c r="A26" s="199"/>
      <c r="B26" s="224"/>
      <c r="C26" s="224"/>
      <c r="D26" s="224"/>
      <c r="E26" s="224"/>
      <c r="F26" s="224"/>
      <c r="G26" s="224"/>
      <c r="H26" s="224"/>
      <c r="I26" s="224"/>
      <c r="J26" s="199"/>
      <c r="K26" s="199"/>
      <c r="L26" s="199"/>
    </row>
    <row r="27" spans="1:12" ht="15">
      <c r="A27" s="199"/>
      <c r="B27" s="205">
        <f>+B20+1</f>
        <v>5</v>
      </c>
      <c r="C27" s="206"/>
      <c r="D27" s="2" t="s">
        <v>535</v>
      </c>
      <c r="E27" s="215"/>
      <c r="F27" s="204"/>
      <c r="G27" s="217">
        <f>+'WS J PROJECTED RTEP RR'!M26</f>
        <v>29648267.104692813</v>
      </c>
      <c r="H27" s="204"/>
      <c r="I27" s="218" t="s">
        <v>129</v>
      </c>
      <c r="J27" s="219">
        <v>1</v>
      </c>
      <c r="K27" s="203"/>
      <c r="L27" s="220">
        <f>+J27*G27</f>
        <v>29648267.104692813</v>
      </c>
    </row>
    <row r="28" spans="1:12" ht="15">
      <c r="A28" s="199"/>
      <c r="B28" s="205"/>
      <c r="C28" s="206"/>
      <c r="D28" s="2"/>
      <c r="E28" s="215"/>
      <c r="F28" s="204"/>
      <c r="G28" s="217"/>
      <c r="H28" s="204"/>
      <c r="I28" s="204"/>
      <c r="J28" s="219"/>
      <c r="K28" s="203"/>
      <c r="L28" s="220"/>
    </row>
    <row r="29" spans="1:12" ht="15">
      <c r="A29" s="199"/>
      <c r="B29" s="205">
        <f>+B27+1</f>
        <v>6</v>
      </c>
      <c r="C29" s="206"/>
      <c r="D29" s="2" t="s">
        <v>373</v>
      </c>
      <c r="E29" s="215"/>
      <c r="F29" s="203"/>
      <c r="G29" s="225"/>
      <c r="H29" s="203"/>
      <c r="I29" s="199"/>
      <c r="J29" s="203"/>
      <c r="K29" s="203"/>
      <c r="L29" s="199"/>
    </row>
    <row r="30" spans="1:12" ht="15">
      <c r="A30" s="199"/>
      <c r="B30" s="205">
        <f>B29+1</f>
        <v>7</v>
      </c>
      <c r="C30" s="206"/>
      <c r="D30" s="203" t="s">
        <v>250</v>
      </c>
      <c r="E30" s="203" t="str">
        <f>"( (ln "&amp;B13&amp;" - ln "&amp;B175&amp;")/((ln "&amp;$B$95&amp;") x 100) )"</f>
        <v>( (ln 1 - ln 95)/((ln 42) x 100) )</v>
      </c>
      <c r="F30" s="206"/>
      <c r="G30" s="206"/>
      <c r="H30" s="206"/>
      <c r="I30" s="226"/>
      <c r="J30" s="226"/>
      <c r="K30" s="226"/>
      <c r="L30" s="227">
        <f>(L13-L175)/L$95</f>
        <v>0.14402710248062264</v>
      </c>
    </row>
    <row r="31" spans="1:12" ht="15">
      <c r="A31" s="199"/>
      <c r="B31" s="205">
        <f>B30+1</f>
        <v>8</v>
      </c>
      <c r="C31" s="206"/>
      <c r="D31" s="203" t="s">
        <v>251</v>
      </c>
      <c r="E31" s="203" t="str">
        <f>"(ln "&amp;B30&amp;" / 12)"</f>
        <v>(ln 7 / 12)</v>
      </c>
      <c r="F31" s="206"/>
      <c r="G31" s="206"/>
      <c r="H31" s="206"/>
      <c r="I31" s="226"/>
      <c r="J31" s="226"/>
      <c r="K31" s="226"/>
      <c r="L31" s="227">
        <f>L30/12</f>
        <v>1.2002258540051887E-2</v>
      </c>
    </row>
    <row r="32" spans="1:12" ht="15">
      <c r="A32" s="199"/>
      <c r="B32" s="205"/>
      <c r="C32" s="206"/>
      <c r="D32" s="203"/>
      <c r="E32" s="203"/>
      <c r="F32" s="206"/>
      <c r="G32" s="206"/>
      <c r="H32" s="206"/>
      <c r="I32" s="226"/>
      <c r="J32" s="226"/>
      <c r="K32" s="226"/>
      <c r="L32" s="227"/>
    </row>
    <row r="33" spans="1:12" ht="15">
      <c r="A33" s="199"/>
      <c r="B33" s="205">
        <f>B31+1</f>
        <v>9</v>
      </c>
      <c r="C33" s="206"/>
      <c r="D33" s="2" t="str">
        <f>"NET PLANT CARRYING CHARGE ON LINE "&amp;B30&amp;" , w/o depreciation or ROE incentives (Note B)"</f>
        <v>NET PLANT CARRYING CHARGE ON LINE 7 , w/o depreciation or ROE incentives (Note B)</v>
      </c>
      <c r="E33" s="203"/>
      <c r="F33" s="206"/>
      <c r="G33" s="206"/>
      <c r="H33" s="206"/>
      <c r="I33" s="226"/>
      <c r="J33" s="226"/>
      <c r="K33" s="226"/>
      <c r="L33" s="227"/>
    </row>
    <row r="34" spans="1:12" ht="15">
      <c r="A34" s="199"/>
      <c r="B34" s="205">
        <f>B33+1</f>
        <v>10</v>
      </c>
      <c r="C34" s="206"/>
      <c r="D34" s="203" t="s">
        <v>250</v>
      </c>
      <c r="E34" s="203" t="str">
        <f>"( (ln "&amp;B13&amp;" - ln "&amp;B175&amp;" - ln "&amp;B181&amp;" ) /((ln "&amp;$B$95&amp;") x 100) )"</f>
        <v>( (ln 1 - ln 95 - ln 100 ) /((ln 42) x 100) )</v>
      </c>
      <c r="F34" s="206"/>
      <c r="G34" s="206"/>
      <c r="H34" s="206"/>
      <c r="I34" s="226"/>
      <c r="J34" s="226"/>
      <c r="K34" s="226"/>
      <c r="L34" s="227">
        <f>(L13-L175-L181)/L95</f>
        <v>0.1119061905251431</v>
      </c>
    </row>
    <row r="35" spans="1:12" ht="15">
      <c r="A35" s="199"/>
      <c r="B35" s="205"/>
      <c r="C35" s="206"/>
      <c r="D35" s="203"/>
      <c r="E35" s="203"/>
      <c r="F35" s="206"/>
      <c r="G35" s="206"/>
      <c r="H35" s="206"/>
      <c r="I35" s="226"/>
      <c r="J35" s="226"/>
      <c r="K35" s="226"/>
      <c r="L35" s="227"/>
    </row>
    <row r="36" spans="1:12" ht="15">
      <c r="A36" s="199"/>
      <c r="B36" s="205">
        <f>B34+1</f>
        <v>11</v>
      </c>
      <c r="C36" s="206"/>
      <c r="D36" s="2" t="str">
        <f>"NET PLANT CARRYING CHARGE ON LINE "&amp;B34&amp;", w/o Return, income taxes or ROE incentives (Note B)"</f>
        <v>NET PLANT CARRYING CHARGE ON LINE 10, w/o Return, income taxes or ROE incentives (Note B)</v>
      </c>
      <c r="E36" s="203"/>
      <c r="F36" s="155"/>
      <c r="G36" s="155"/>
      <c r="H36" s="155"/>
      <c r="I36" s="155"/>
      <c r="J36" s="155"/>
      <c r="K36" s="155"/>
      <c r="L36" s="155"/>
    </row>
    <row r="37" spans="1:12" ht="15">
      <c r="A37" s="199"/>
      <c r="B37" s="205">
        <f>B36+1</f>
        <v>12</v>
      </c>
      <c r="C37" s="206"/>
      <c r="D37" s="203" t="s">
        <v>250</v>
      </c>
      <c r="E37" s="203" t="str">
        <f>"( (ln "&amp;B13&amp;" - ln "&amp;B175&amp;" - ln "&amp;B181&amp;" - ln "&amp;B211&amp;" - ln "&amp;B213&amp;") /((ln "&amp;$B$95&amp;") x 100) )"</f>
        <v>( (ln 1 - ln 95 - ln 100 - ln 125 - ln 126) /((ln 42) x 100) )</v>
      </c>
      <c r="F37" s="155"/>
      <c r="G37" s="155"/>
      <c r="H37" s="155"/>
      <c r="I37" s="155"/>
      <c r="J37" s="155"/>
      <c r="K37" s="155"/>
      <c r="L37" s="228">
        <f>(L13-L175-L181-L211-L213)/L95</f>
        <v>3.2387382579050557E-2</v>
      </c>
    </row>
    <row r="38" spans="1:12" ht="15">
      <c r="A38" s="199"/>
      <c r="B38" s="205"/>
      <c r="C38" s="206"/>
      <c r="D38" s="203"/>
      <c r="E38" s="203"/>
      <c r="F38" s="206"/>
      <c r="G38" s="206"/>
      <c r="H38" s="206"/>
      <c r="I38" s="226"/>
      <c r="J38" s="226"/>
      <c r="K38" s="226"/>
      <c r="L38" s="227"/>
    </row>
    <row r="39" spans="1:12" ht="15">
      <c r="A39" s="199"/>
      <c r="B39" s="205">
        <f>B37+1</f>
        <v>13</v>
      </c>
      <c r="C39" s="206"/>
      <c r="D39" s="2" t="s">
        <v>591</v>
      </c>
      <c r="E39" s="203"/>
      <c r="F39" s="206"/>
      <c r="G39" s="206"/>
      <c r="H39" s="206"/>
      <c r="I39" s="226"/>
      <c r="J39" s="226"/>
      <c r="K39" s="226"/>
      <c r="L39" s="229"/>
    </row>
    <row r="40" spans="1:12" ht="15">
      <c r="A40" s="199"/>
      <c r="B40" s="205"/>
      <c r="C40" s="206"/>
      <c r="D40" s="199"/>
      <c r="E40" s="203"/>
      <c r="F40" s="206"/>
      <c r="G40" s="206"/>
      <c r="H40" s="206"/>
      <c r="I40" s="226"/>
      <c r="J40" s="226"/>
      <c r="K40" s="226"/>
      <c r="L40" s="227"/>
    </row>
    <row r="41" spans="1:12" ht="15">
      <c r="A41" s="199"/>
      <c r="B41" s="199"/>
      <c r="C41" s="206"/>
      <c r="D41" s="199"/>
      <c r="E41" s="203"/>
      <c r="F41" s="206"/>
      <c r="G41" s="206"/>
      <c r="H41" s="206"/>
      <c r="I41" s="226"/>
      <c r="J41" s="226"/>
      <c r="K41" s="226"/>
      <c r="L41" s="227"/>
    </row>
    <row r="42" spans="1:12" ht="15.75">
      <c r="A42" s="199"/>
      <c r="B42" s="205">
        <f>+B39+1</f>
        <v>14</v>
      </c>
      <c r="C42" s="206"/>
      <c r="D42" s="1215" t="s">
        <v>432</v>
      </c>
      <c r="E42" s="1215"/>
      <c r="F42" s="1215"/>
      <c r="G42" s="1215"/>
      <c r="H42" s="1215"/>
      <c r="I42" s="1215"/>
      <c r="J42" s="1215"/>
      <c r="K42" s="1215"/>
      <c r="L42" s="1215"/>
    </row>
    <row r="43" spans="1:12" ht="15">
      <c r="A43" s="199"/>
      <c r="B43" s="205"/>
      <c r="C43" s="206"/>
      <c r="D43" s="199"/>
      <c r="E43" s="203"/>
      <c r="F43" s="206"/>
      <c r="G43" s="206"/>
      <c r="H43" s="206"/>
      <c r="I43" s="226"/>
      <c r="J43" s="226"/>
      <c r="K43" s="226"/>
      <c r="L43" s="227"/>
    </row>
    <row r="44" spans="1:12" ht="15">
      <c r="A44" s="199"/>
      <c r="B44" s="205">
        <f>+B42+1</f>
        <v>15</v>
      </c>
      <c r="C44" s="206"/>
      <c r="D44" s="2" t="s">
        <v>434</v>
      </c>
      <c r="E44" s="203" t="str">
        <f>"Line "&amp;B152&amp;" Below"</f>
        <v>Line 75 Below</v>
      </c>
      <c r="F44" s="206"/>
      <c r="G44" s="199"/>
      <c r="H44" s="206"/>
      <c r="I44" s="226"/>
      <c r="J44" s="226"/>
      <c r="K44" s="226"/>
      <c r="L44" s="230">
        <f>+G152</f>
        <v>11718434.453522202</v>
      </c>
    </row>
    <row r="45" spans="1:12" ht="15">
      <c r="A45" s="199"/>
      <c r="B45" s="205">
        <f>+B44+1</f>
        <v>16</v>
      </c>
      <c r="C45" s="206"/>
      <c r="D45" s="2" t="s">
        <v>472</v>
      </c>
      <c r="E45" s="203"/>
      <c r="F45" s="206"/>
      <c r="G45" s="199"/>
      <c r="H45" s="206"/>
      <c r="I45" s="226"/>
      <c r="J45" s="226"/>
      <c r="K45" s="226"/>
      <c r="L45" s="537">
        <f>'WS F Misc Exp'!D28</f>
        <v>6565631.1438945755</v>
      </c>
    </row>
    <row r="46" spans="1:12" ht="15">
      <c r="A46" s="199"/>
      <c r="B46" s="205">
        <f>+B45+1</f>
        <v>17</v>
      </c>
      <c r="C46" s="206"/>
      <c r="D46" s="2" t="s">
        <v>473</v>
      </c>
      <c r="E46" s="203"/>
      <c r="F46" s="206"/>
      <c r="G46" s="199"/>
      <c r="H46" s="206"/>
      <c r="I46" s="226"/>
      <c r="J46" s="226"/>
      <c r="K46" s="226"/>
      <c r="L46" s="537">
        <f>'WS F Misc Exp'!D32</f>
        <v>2118143.9442294603</v>
      </c>
    </row>
    <row r="47" spans="1:12" ht="15">
      <c r="A47" s="199"/>
      <c r="B47" s="205"/>
      <c r="C47" s="206"/>
      <c r="D47" s="199"/>
      <c r="E47" s="203"/>
      <c r="F47" s="206"/>
      <c r="G47" s="199"/>
      <c r="H47" s="206"/>
      <c r="I47" s="226"/>
      <c r="J47" s="226"/>
      <c r="K47" s="226"/>
      <c r="L47" s="206"/>
    </row>
    <row r="48" spans="1:12" ht="15.75" thickBot="1">
      <c r="A48" s="199"/>
      <c r="B48" s="205">
        <f>+B46+1</f>
        <v>18</v>
      </c>
      <c r="C48" s="206"/>
      <c r="D48" s="2" t="s">
        <v>433</v>
      </c>
      <c r="E48" s="213" t="str">
        <f>"(Line "&amp;B44&amp;" - Line "&amp;B45&amp;" - Line "&amp;B46&amp;")"</f>
        <v>(Line 15 - Line 16 - Line 17)</v>
      </c>
      <c r="F48" s="206"/>
      <c r="G48" s="199"/>
      <c r="H48" s="206"/>
      <c r="I48" s="226"/>
      <c r="J48" s="226"/>
      <c r="K48" s="226"/>
      <c r="L48" s="231">
        <f>+L44-L45-L46</f>
        <v>3034659.3653981658</v>
      </c>
    </row>
    <row r="49" spans="1:12" ht="15.75" thickTop="1">
      <c r="A49" s="199"/>
      <c r="B49" s="205"/>
      <c r="C49" s="206"/>
      <c r="D49" s="199"/>
      <c r="E49" s="203"/>
      <c r="F49" s="206"/>
      <c r="G49" s="206"/>
      <c r="H49" s="206"/>
      <c r="I49" s="226"/>
      <c r="J49" s="226"/>
      <c r="K49" s="226"/>
      <c r="L49" s="227"/>
    </row>
    <row r="50" spans="1:12" ht="15">
      <c r="A50" s="199"/>
      <c r="B50" s="205"/>
      <c r="C50" s="206"/>
      <c r="D50" s="199"/>
      <c r="E50" s="203"/>
      <c r="F50" s="206"/>
      <c r="G50" s="206"/>
      <c r="H50" s="206"/>
      <c r="I50" s="226"/>
      <c r="J50" s="226"/>
      <c r="K50" s="226"/>
      <c r="L50" s="227"/>
    </row>
    <row r="51" spans="1:12" ht="15">
      <c r="A51" s="199"/>
      <c r="B51" s="205"/>
      <c r="C51" s="206"/>
      <c r="D51" s="199"/>
      <c r="E51" s="203"/>
      <c r="F51" s="206"/>
      <c r="G51" s="206"/>
      <c r="H51" s="206"/>
      <c r="I51" s="226"/>
      <c r="J51" s="226"/>
      <c r="K51" s="226"/>
      <c r="L51" s="227"/>
    </row>
    <row r="52" spans="1:12" ht="15">
      <c r="A52" s="199"/>
      <c r="B52" s="198"/>
      <c r="C52" s="199"/>
      <c r="D52" s="203"/>
      <c r="E52" s="203"/>
      <c r="F52" s="199"/>
      <c r="G52" s="213"/>
      <c r="H52" s="203"/>
      <c r="I52" s="203"/>
      <c r="J52" s="203"/>
      <c r="K52" s="203"/>
      <c r="L52" s="203"/>
    </row>
    <row r="53" spans="1:12" ht="15">
      <c r="A53" s="199"/>
      <c r="B53" s="198"/>
      <c r="C53" s="199"/>
      <c r="D53" s="203"/>
      <c r="E53" s="203"/>
      <c r="F53" s="206"/>
      <c r="G53" s="213"/>
      <c r="H53" s="203"/>
      <c r="I53" s="203"/>
      <c r="J53" s="203"/>
      <c r="K53" s="203"/>
      <c r="L53" s="203"/>
    </row>
    <row r="54" spans="1:12" ht="15">
      <c r="A54" s="199"/>
      <c r="B54" s="198"/>
      <c r="C54" s="199"/>
      <c r="D54" s="203"/>
      <c r="E54" s="203"/>
      <c r="F54" s="206" t="str">
        <f>F5</f>
        <v xml:space="preserve">AEP East Companies </v>
      </c>
      <c r="G54" s="213"/>
      <c r="H54" s="203"/>
      <c r="I54" s="203"/>
      <c r="J54" s="203"/>
      <c r="K54" s="203"/>
      <c r="L54" s="203"/>
    </row>
    <row r="55" spans="1:12" ht="15">
      <c r="A55" s="199"/>
      <c r="B55" s="198"/>
      <c r="C55" s="199"/>
      <c r="D55" s="203"/>
      <c r="E55" s="204"/>
      <c r="F55" s="206" t="str">
        <f>F6</f>
        <v>Transmission Cost of Service Formula Rate</v>
      </c>
      <c r="G55" s="204"/>
      <c r="H55" s="204"/>
      <c r="I55" s="204"/>
      <c r="J55" s="204"/>
      <c r="K55" s="204"/>
      <c r="L55" s="204"/>
    </row>
    <row r="56" spans="1:12" ht="15">
      <c r="A56" s="199"/>
      <c r="B56" s="198"/>
      <c r="C56" s="199"/>
      <c r="D56" s="203"/>
      <c r="E56" s="204"/>
      <c r="F56" s="218" t="str">
        <f>F7</f>
        <v>Utilizing  Actual/Projected FERC Form 1 Data</v>
      </c>
      <c r="G56" s="204"/>
      <c r="H56" s="204"/>
      <c r="I56" s="204"/>
      <c r="J56" s="204"/>
      <c r="K56" s="204"/>
      <c r="L56" s="204"/>
    </row>
    <row r="57" spans="1:12" ht="15">
      <c r="A57" s="199"/>
      <c r="B57" s="198"/>
      <c r="C57" s="199"/>
      <c r="D57" s="203"/>
      <c r="E57" s="204"/>
      <c r="F57" s="206"/>
      <c r="G57" s="204"/>
      <c r="H57" s="204"/>
      <c r="I57" s="204"/>
      <c r="J57" s="204"/>
      <c r="K57" s="204"/>
      <c r="L57" s="204"/>
    </row>
    <row r="58" spans="1:12" ht="15">
      <c r="A58" s="199"/>
      <c r="B58" s="198"/>
      <c r="C58" s="199"/>
      <c r="D58" s="203"/>
      <c r="E58" s="204"/>
      <c r="F58" s="206" t="str">
        <f>F9</f>
        <v>Appalachian Power Company</v>
      </c>
      <c r="G58" s="204"/>
      <c r="H58" s="204"/>
      <c r="I58" s="204"/>
      <c r="J58" s="204"/>
      <c r="K58" s="204"/>
      <c r="L58" s="204"/>
    </row>
    <row r="59" spans="1:12" ht="15">
      <c r="A59" s="199"/>
      <c r="B59" s="198"/>
      <c r="C59" s="199"/>
      <c r="D59" s="203"/>
      <c r="E59" s="218"/>
      <c r="F59" s="218"/>
      <c r="G59" s="218"/>
      <c r="H59" s="218"/>
      <c r="I59" s="218"/>
      <c r="J59" s="218"/>
      <c r="K59" s="218"/>
      <c r="L59" s="204"/>
    </row>
    <row r="60" spans="1:12" ht="15">
      <c r="A60" s="199"/>
      <c r="B60" s="198"/>
      <c r="C60" s="199"/>
      <c r="D60" s="206" t="s">
        <v>121</v>
      </c>
      <c r="E60" s="206" t="s">
        <v>122</v>
      </c>
      <c r="F60" s="206"/>
      <c r="G60" s="206" t="s">
        <v>123</v>
      </c>
      <c r="H60" s="204" t="s">
        <v>114</v>
      </c>
      <c r="I60" s="1210" t="s">
        <v>124</v>
      </c>
      <c r="J60" s="1211"/>
      <c r="K60" s="204"/>
      <c r="L60" s="207" t="s">
        <v>125</v>
      </c>
    </row>
    <row r="61" spans="1:12" ht="15">
      <c r="A61" s="199"/>
      <c r="B61" s="199"/>
      <c r="C61" s="199"/>
      <c r="D61" s="155"/>
      <c r="E61" s="155"/>
      <c r="F61" s="155"/>
      <c r="G61" s="230"/>
      <c r="H61" s="204"/>
      <c r="I61" s="204"/>
      <c r="J61" s="234"/>
      <c r="K61" s="204"/>
      <c r="L61" s="199"/>
    </row>
    <row r="62" spans="1:12" ht="15.75">
      <c r="A62" s="199"/>
      <c r="B62" s="235"/>
      <c r="C62" s="206"/>
      <c r="D62" s="155"/>
      <c r="E62" s="236" t="s">
        <v>95</v>
      </c>
      <c r="F62" s="237"/>
      <c r="G62" s="204"/>
      <c r="H62" s="204"/>
      <c r="I62" s="204"/>
      <c r="J62" s="206"/>
      <c r="K62" s="204"/>
      <c r="L62" s="238" t="s">
        <v>118</v>
      </c>
    </row>
    <row r="63" spans="1:12" ht="15.75">
      <c r="A63" s="199"/>
      <c r="B63" s="199"/>
      <c r="C63" s="206"/>
      <c r="D63" s="239" t="s">
        <v>94</v>
      </c>
      <c r="E63" s="240" t="s">
        <v>112</v>
      </c>
      <c r="F63" s="204"/>
      <c r="G63" s="239" t="s">
        <v>81</v>
      </c>
      <c r="H63" s="241"/>
      <c r="I63" s="1212" t="s">
        <v>119</v>
      </c>
      <c r="J63" s="1213"/>
      <c r="K63" s="241"/>
      <c r="L63" s="239" t="s">
        <v>115</v>
      </c>
    </row>
    <row r="64" spans="1:12" ht="15">
      <c r="A64" s="199"/>
      <c r="B64" s="205" t="str">
        <f>B11</f>
        <v>Line</v>
      </c>
      <c r="C64" s="206"/>
      <c r="D64" s="203"/>
      <c r="E64" s="204"/>
      <c r="F64" s="204"/>
      <c r="G64" s="732" t="s">
        <v>354</v>
      </c>
      <c r="H64" s="204"/>
      <c r="I64" s="204"/>
      <c r="J64" s="204"/>
      <c r="K64" s="204"/>
      <c r="L64" s="204"/>
    </row>
    <row r="65" spans="1:12" ht="15.75" thickBot="1">
      <c r="A65" s="199"/>
      <c r="B65" s="211" t="str">
        <f>B12</f>
        <v>No.</v>
      </c>
      <c r="C65" s="206"/>
      <c r="D65" s="203" t="s">
        <v>82</v>
      </c>
      <c r="E65" s="218"/>
      <c r="F65" s="218"/>
      <c r="G65" s="204"/>
      <c r="H65" s="204"/>
      <c r="I65" s="218"/>
      <c r="J65" s="204"/>
      <c r="K65" s="204"/>
      <c r="L65" s="204"/>
    </row>
    <row r="66" spans="1:12" ht="15">
      <c r="A66" s="199"/>
      <c r="B66" s="205">
        <f>+B48+1</f>
        <v>19</v>
      </c>
      <c r="C66" s="206"/>
      <c r="D66" s="203" t="s">
        <v>126</v>
      </c>
      <c r="E66" s="204" t="str">
        <f>"(Worksheet A ln "&amp;'WS A - RB Support'!A23&amp;"."&amp;'WS A - RB Support'!C8&amp;")"</f>
        <v>(Worksheet A ln 14.(b))</v>
      </c>
      <c r="F66" s="204"/>
      <c r="G66" s="217">
        <f>'WS A - RB Support'!C23</f>
        <v>5001020134.7431183</v>
      </c>
      <c r="H66" s="217"/>
      <c r="I66" s="218" t="s">
        <v>127</v>
      </c>
      <c r="J66" s="219">
        <v>0</v>
      </c>
      <c r="K66" s="204"/>
      <c r="L66" s="242">
        <f>+J66*G66</f>
        <v>0</v>
      </c>
    </row>
    <row r="67" spans="1:12" ht="15">
      <c r="A67" s="199"/>
      <c r="B67" s="205">
        <f>+B66+1</f>
        <v>20</v>
      </c>
      <c r="C67" s="206"/>
      <c r="D67" s="203" t="s">
        <v>377</v>
      </c>
      <c r="E67" s="204" t="str">
        <f>"(Worksheet A ln "&amp;'WS A - RB Support'!A23&amp;"."&amp;'WS A - RB Support'!D8&amp;")"</f>
        <v>(Worksheet A ln 14.(c))</v>
      </c>
      <c r="F67" s="204"/>
      <c r="G67" s="242">
        <f>-'WS A - RB Support'!D23</f>
        <v>-255804581.3600001</v>
      </c>
      <c r="H67" s="217"/>
      <c r="I67" s="218" t="s">
        <v>127</v>
      </c>
      <c r="J67" s="219">
        <v>0</v>
      </c>
      <c r="K67" s="204"/>
      <c r="L67" s="242">
        <f>+J67*G67</f>
        <v>0</v>
      </c>
    </row>
    <row r="68" spans="1:12" ht="15">
      <c r="A68" s="199"/>
      <c r="B68" s="205">
        <f t="shared" ref="B68:B74" si="0">+B67+1</f>
        <v>21</v>
      </c>
      <c r="C68" s="253"/>
      <c r="D68" s="243" t="s">
        <v>128</v>
      </c>
      <c r="E68" s="204" t="str">
        <f>"(Worksheet A ln "&amp;'WS A - RB Support'!A23&amp;"."&amp;'WS A - RB Support'!E8&amp;" &amp; TCOS Ln "&amp;B237&amp;")"</f>
        <v>(Worksheet A ln 14.(d) &amp; TCOS Ln 134)</v>
      </c>
      <c r="F68" s="244"/>
      <c r="G68" s="217">
        <f>'WS A - RB Support'!E23</f>
        <v>5375582057.3097467</v>
      </c>
      <c r="H68" s="217"/>
      <c r="I68" s="245" t="s">
        <v>129</v>
      </c>
      <c r="J68" s="219" t="s">
        <v>114</v>
      </c>
      <c r="K68" s="246"/>
      <c r="L68" s="242">
        <f>+L237</f>
        <v>5292517858.319747</v>
      </c>
    </row>
    <row r="69" spans="1:12" ht="15">
      <c r="A69" s="199"/>
      <c r="B69" s="205">
        <f t="shared" si="0"/>
        <v>22</v>
      </c>
      <c r="C69" s="253"/>
      <c r="D69" s="203" t="s">
        <v>378</v>
      </c>
      <c r="E69" s="204" t="str">
        <f>"(Worksheet A ln "&amp;'WS A - RB Support'!A23&amp;"."&amp;'WS A - RB Support'!F8&amp;")"</f>
        <v>(Worksheet A ln 14.(e))</v>
      </c>
      <c r="F69" s="244"/>
      <c r="G69" s="217">
        <f>-'WS A - RB Support'!F23</f>
        <v>0</v>
      </c>
      <c r="H69" s="217"/>
      <c r="I69" s="245" t="s">
        <v>120</v>
      </c>
      <c r="J69" s="219">
        <f>L239</f>
        <v>0.98454786884388668</v>
      </c>
      <c r="K69" s="246"/>
      <c r="L69" s="242">
        <f>+G69*J69</f>
        <v>0</v>
      </c>
    </row>
    <row r="70" spans="1:12" ht="15">
      <c r="A70" s="199"/>
      <c r="B70" s="205">
        <f>+B69+1</f>
        <v>23</v>
      </c>
      <c r="C70" s="253"/>
      <c r="D70" s="203" t="s">
        <v>130</v>
      </c>
      <c r="E70" s="204" t="str">
        <f>"(Worksheet A ln "&amp;'WS A - RB Support'!A23&amp;"."&amp;'WS A - RB Support'!G8&amp;")"</f>
        <v>(Worksheet A ln 14.(f))</v>
      </c>
      <c r="F70" s="204"/>
      <c r="G70" s="217">
        <f>'WS A - RB Support'!G23</f>
        <v>6281087692.9779148</v>
      </c>
      <c r="H70" s="217"/>
      <c r="I70" s="218" t="s">
        <v>127</v>
      </c>
      <c r="J70" s="219">
        <v>0</v>
      </c>
      <c r="K70" s="204"/>
      <c r="L70" s="242">
        <f>+J70*G70</f>
        <v>0</v>
      </c>
    </row>
    <row r="71" spans="1:12" ht="15">
      <c r="A71" s="199"/>
      <c r="B71" s="205">
        <f t="shared" si="0"/>
        <v>24</v>
      </c>
      <c r="C71" s="253"/>
      <c r="D71" s="203" t="s">
        <v>375</v>
      </c>
      <c r="E71" s="204" t="str">
        <f>"(Worksheet A ln "&amp;'WS A - RB Support'!A23&amp;"."&amp;'WS A - RB Support'!H8&amp;")"</f>
        <v>(Worksheet A ln 14.(g))</v>
      </c>
      <c r="F71" s="204"/>
      <c r="G71" s="242">
        <f>-'WS A - RB Support'!H23</f>
        <v>-3068.5599999999986</v>
      </c>
      <c r="H71" s="217"/>
      <c r="I71" s="218" t="s">
        <v>127</v>
      </c>
      <c r="J71" s="219">
        <v>0</v>
      </c>
      <c r="K71" s="204"/>
      <c r="L71" s="242">
        <f>+G71*J71</f>
        <v>0</v>
      </c>
    </row>
    <row r="72" spans="1:12" ht="15">
      <c r="A72" s="199"/>
      <c r="B72" s="205">
        <f t="shared" si="0"/>
        <v>25</v>
      </c>
      <c r="C72" s="253"/>
      <c r="D72" s="203" t="s">
        <v>131</v>
      </c>
      <c r="E72" s="204" t="str">
        <f>"(Worksheet A ln "&amp;'WS A - RB Support'!A23&amp;"."&amp;'WS A - RB Support'!I8&amp;")"</f>
        <v>(Worksheet A ln 14.(h))</v>
      </c>
      <c r="F72" s="204"/>
      <c r="G72" s="217">
        <f>'WS A - RB Support'!I23</f>
        <v>1015408177.135283</v>
      </c>
      <c r="H72" s="217"/>
      <c r="I72" s="218" t="s">
        <v>132</v>
      </c>
      <c r="J72" s="219">
        <f>L257</f>
        <v>0.10678464326444631</v>
      </c>
      <c r="K72" s="204"/>
      <c r="L72" s="242">
        <f>+J72*G72</f>
        <v>108429999.96319291</v>
      </c>
    </row>
    <row r="73" spans="1:12" ht="15">
      <c r="A73" s="199"/>
      <c r="B73" s="205">
        <f t="shared" si="0"/>
        <v>26</v>
      </c>
      <c r="C73" s="253"/>
      <c r="D73" s="203" t="s">
        <v>376</v>
      </c>
      <c r="E73" s="204" t="str">
        <f>"(Worksheet A ln "&amp;'WS A - RB Support'!A23&amp;"."&amp;'WS A - RB Support'!J8&amp;")"</f>
        <v>(Worksheet A ln 14.(i))</v>
      </c>
      <c r="F73" s="204"/>
      <c r="G73" s="242">
        <f>-'WS A - RB Support'!J23</f>
        <v>-1425436.2741530421</v>
      </c>
      <c r="H73" s="217"/>
      <c r="I73" s="218" t="s">
        <v>132</v>
      </c>
      <c r="J73" s="219">
        <f>L257</f>
        <v>0.10678464326444631</v>
      </c>
      <c r="K73" s="204"/>
      <c r="L73" s="242">
        <f>+G73*J73</f>
        <v>-152214.70403163409</v>
      </c>
    </row>
    <row r="74" spans="1:12" ht="15">
      <c r="A74" s="199"/>
      <c r="B74" s="205">
        <f t="shared" si="0"/>
        <v>27</v>
      </c>
      <c r="C74" s="253"/>
      <c r="D74" s="203" t="s">
        <v>133</v>
      </c>
      <c r="E74" s="204" t="str">
        <f>"(Worksheet A ln "&amp;'WS A - RB Support'!A23&amp;"."&amp;'WS A - RB Support'!K8&amp;")"</f>
        <v>(Worksheet A ln 14.(j))</v>
      </c>
      <c r="F74" s="204"/>
      <c r="G74" s="217">
        <f>'WS A - RB Support'!K23</f>
        <v>20502079.75</v>
      </c>
      <c r="H74" s="217"/>
      <c r="I74" s="218" t="s">
        <v>132</v>
      </c>
      <c r="J74" s="219">
        <f>L257</f>
        <v>0.10678464326444631</v>
      </c>
      <c r="K74" s="204"/>
      <c r="L74" s="1166">
        <f>+J74*G74</f>
        <v>2189307.2722829785</v>
      </c>
    </row>
    <row r="75" spans="1:12" ht="15">
      <c r="A75" s="199"/>
      <c r="B75" s="205"/>
      <c r="C75" s="253"/>
      <c r="D75" s="203"/>
      <c r="E75" s="204"/>
      <c r="F75" s="204"/>
      <c r="G75" s="217"/>
      <c r="H75" s="217"/>
      <c r="I75" s="218"/>
      <c r="J75" s="219"/>
      <c r="K75" s="204"/>
      <c r="L75" s="242"/>
    </row>
    <row r="76" spans="1:12" ht="15.75" thickBot="1">
      <c r="A76" s="199"/>
      <c r="B76" s="205"/>
      <c r="C76" s="253"/>
      <c r="D76" s="203"/>
      <c r="E76" s="204"/>
      <c r="F76" s="204"/>
      <c r="G76" s="299"/>
      <c r="H76" s="217"/>
      <c r="I76" s="218"/>
      <c r="J76" s="219"/>
      <c r="K76" s="204"/>
      <c r="L76" s="299"/>
    </row>
    <row r="77" spans="1:12" ht="15.75">
      <c r="A77" s="199"/>
      <c r="B77" s="205">
        <f>+B74+1</f>
        <v>28</v>
      </c>
      <c r="C77" s="253"/>
      <c r="D77" s="203" t="s">
        <v>47</v>
      </c>
      <c r="E77" s="206" t="str">
        <f>"(sum lns "&amp;B66&amp;" to "&amp;B74&amp;")"</f>
        <v>(sum lns 19 to 27)</v>
      </c>
      <c r="F77" s="166"/>
      <c r="G77" s="217">
        <f>SUM(G66:G76)</f>
        <v>17436367055.721909</v>
      </c>
      <c r="H77" s="217"/>
      <c r="I77" s="236" t="s">
        <v>753</v>
      </c>
      <c r="J77" s="249">
        <f>+L77/G77</f>
        <v>0.30986873203487364</v>
      </c>
      <c r="K77" s="204"/>
      <c r="L77" s="217">
        <f>SUM(L66:L76)</f>
        <v>5402984950.8511906</v>
      </c>
    </row>
    <row r="78" spans="1:12" ht="15.75">
      <c r="A78" s="199"/>
      <c r="B78" s="205"/>
      <c r="C78" s="206"/>
      <c r="D78" s="203"/>
      <c r="E78" s="1169"/>
      <c r="F78" s="166"/>
      <c r="G78" s="217"/>
      <c r="H78" s="217"/>
      <c r="I78" s="237" t="s">
        <v>216</v>
      </c>
      <c r="J78" s="250">
        <f>+L68/(G70+G68+G71)</f>
        <v>0.45403355889175429</v>
      </c>
      <c r="K78" s="204"/>
      <c r="L78" s="217"/>
    </row>
    <row r="79" spans="1:12" ht="15">
      <c r="A79" s="199"/>
      <c r="B79" s="205">
        <f>+B77+1</f>
        <v>29</v>
      </c>
      <c r="C79" s="206"/>
      <c r="D79" s="203" t="s">
        <v>24</v>
      </c>
      <c r="E79" s="218"/>
      <c r="F79" s="218"/>
      <c r="G79" s="217"/>
      <c r="H79" s="251"/>
      <c r="I79" s="218"/>
      <c r="J79" s="252"/>
      <c r="K79" s="204"/>
      <c r="L79" s="217"/>
    </row>
    <row r="80" spans="1:12" ht="15">
      <c r="A80" s="199"/>
      <c r="B80" s="205">
        <f>+B79+1</f>
        <v>30</v>
      </c>
      <c r="C80" s="206"/>
      <c r="D80" s="203" t="str">
        <f>+D66</f>
        <v xml:space="preserve">  Production</v>
      </c>
      <c r="E80" s="204" t="str">
        <f>"(Worksheet A ln "&amp;'WS A - RB Support'!A42&amp;"."&amp;'WS A - RB Support'!C27&amp;")"</f>
        <v>(Worksheet A ln 28.(b))</v>
      </c>
      <c r="F80" s="204"/>
      <c r="G80" s="217">
        <f>'WS A - RB Support'!C42</f>
        <v>2451346319.7179866</v>
      </c>
      <c r="H80" s="217"/>
      <c r="I80" s="218" t="s">
        <v>127</v>
      </c>
      <c r="J80" s="219">
        <v>0</v>
      </c>
      <c r="K80" s="204"/>
      <c r="L80" s="242">
        <f>+J80*G80</f>
        <v>0</v>
      </c>
    </row>
    <row r="81" spans="1:12" ht="15">
      <c r="A81" s="199"/>
      <c r="B81" s="205">
        <f t="shared" ref="B81:B88" si="1">+B80+1</f>
        <v>31</v>
      </c>
      <c r="C81" s="206"/>
      <c r="D81" s="203" t="s">
        <v>377</v>
      </c>
      <c r="E81" s="204" t="str">
        <f>"(Worksheet A ln "&amp;'WS A - RB Support'!A42&amp;"."&amp;'WS A - RB Support'!D27&amp;")"</f>
        <v>(Worksheet A ln 28.(c))</v>
      </c>
      <c r="F81" s="204"/>
      <c r="G81" s="242">
        <f>-'WS A - RB Support'!D42</f>
        <v>-85335268.830000013</v>
      </c>
      <c r="H81" s="217"/>
      <c r="I81" s="218" t="s">
        <v>127</v>
      </c>
      <c r="J81" s="219">
        <v>0</v>
      </c>
      <c r="K81" s="204"/>
      <c r="L81" s="242">
        <f>+J81*G81</f>
        <v>0</v>
      </c>
    </row>
    <row r="82" spans="1:12" ht="15.75">
      <c r="A82" s="199"/>
      <c r="B82" s="205">
        <f t="shared" si="1"/>
        <v>32</v>
      </c>
      <c r="C82" s="253"/>
      <c r="D82" s="243" t="str">
        <f>D68</f>
        <v xml:space="preserve">  Transmission</v>
      </c>
      <c r="E82" s="204" t="str">
        <f>"(Worksheet A ln "&amp;'WS A - RB Support'!A42&amp;"."&amp;'WS A - RB Support'!E27&amp;" &amp; "&amp;"ln "&amp;'WS A - RB Support'!A64&amp;"."&amp;'WS A - RB Support'!D47&amp;")"</f>
        <v>(Worksheet A ln 28.(d) &amp; ln 43.(c))</v>
      </c>
      <c r="F82" s="244"/>
      <c r="G82" s="247">
        <f>'WS A - RB Support'!E42</f>
        <v>1093770766.5978913</v>
      </c>
      <c r="H82" s="217"/>
      <c r="I82" s="1167" t="s">
        <v>27</v>
      </c>
      <c r="J82" s="256">
        <f>L82/G82</f>
        <v>0.97156632314770508</v>
      </c>
      <c r="K82" s="246"/>
      <c r="L82" s="242">
        <f>'WS A - RB Support'!D64</f>
        <v>1062670842.06996</v>
      </c>
    </row>
    <row r="83" spans="1:12" ht="15.75">
      <c r="A83" s="199"/>
      <c r="B83" s="205">
        <f t="shared" si="1"/>
        <v>33</v>
      </c>
      <c r="C83" s="253"/>
      <c r="D83" s="203" t="s">
        <v>378</v>
      </c>
      <c r="E83" s="204" t="str">
        <f>"(Worksheet A ln "&amp;'WS A - RB Support'!A42&amp;"."&amp;'WS A - RB Support'!F27&amp;")"</f>
        <v>(Worksheet A ln 28.(e))</v>
      </c>
      <c r="F83" s="244"/>
      <c r="G83" s="242">
        <f>-'WS A - RB Support'!F42</f>
        <v>0</v>
      </c>
      <c r="H83" s="217"/>
      <c r="I83" s="1167" t="s">
        <v>27</v>
      </c>
      <c r="J83" s="219">
        <f>+J82</f>
        <v>0.97156632314770508</v>
      </c>
      <c r="K83" s="246"/>
      <c r="L83" s="242">
        <f t="shared" ref="L83:L88" si="2">+J83*G83</f>
        <v>0</v>
      </c>
    </row>
    <row r="84" spans="1:12" ht="15">
      <c r="A84" s="199"/>
      <c r="B84" s="205">
        <f>+B83+1</f>
        <v>34</v>
      </c>
      <c r="C84" s="253"/>
      <c r="D84" s="203" t="str">
        <f>+D70</f>
        <v xml:space="preserve">  Distribution</v>
      </c>
      <c r="E84" s="204" t="str">
        <f>"(Worksheet A ln "&amp;'WS A - RB Support'!A42&amp;"."&amp;'WS A - RB Support'!G27&amp;")"</f>
        <v>(Worksheet A ln 28.(f))</v>
      </c>
      <c r="F84" s="204"/>
      <c r="G84" s="217">
        <f>'WS A - RB Support'!G42</f>
        <v>2090384865.2425165</v>
      </c>
      <c r="H84" s="217"/>
      <c r="I84" s="218" t="s">
        <v>127</v>
      </c>
      <c r="J84" s="219">
        <v>0</v>
      </c>
      <c r="K84" s="204"/>
      <c r="L84" s="242">
        <f t="shared" si="2"/>
        <v>0</v>
      </c>
    </row>
    <row r="85" spans="1:12" ht="15">
      <c r="A85" s="199"/>
      <c r="B85" s="205">
        <f t="shared" si="1"/>
        <v>35</v>
      </c>
      <c r="C85" s="253"/>
      <c r="D85" s="203" t="s">
        <v>375</v>
      </c>
      <c r="E85" s="204" t="str">
        <f>"(Worksheet A ln "&amp;'WS A - RB Support'!A42&amp;"."&amp;'WS A - RB Support'!H27&amp;")"</f>
        <v>(Worksheet A ln 28.(g))</v>
      </c>
      <c r="F85" s="204"/>
      <c r="G85" s="242">
        <f>-'WS A - RB Support'!H42</f>
        <v>-2444.4699999999971</v>
      </c>
      <c r="H85" s="217"/>
      <c r="I85" s="218" t="s">
        <v>127</v>
      </c>
      <c r="J85" s="219">
        <v>0</v>
      </c>
      <c r="K85" s="204"/>
      <c r="L85" s="242">
        <f t="shared" si="2"/>
        <v>0</v>
      </c>
    </row>
    <row r="86" spans="1:12" ht="15">
      <c r="A86" s="199"/>
      <c r="B86" s="205">
        <f t="shared" si="1"/>
        <v>36</v>
      </c>
      <c r="C86" s="253"/>
      <c r="D86" s="203" t="str">
        <f>+D72</f>
        <v xml:space="preserve">  General Plant   </v>
      </c>
      <c r="E86" s="204" t="str">
        <f>"(Worksheet A ln "&amp;'WS A - RB Support'!A42&amp;"."&amp;'WS A - RB Support'!I27&amp;")"</f>
        <v>(Worksheet A ln 28.(h))</v>
      </c>
      <c r="F86" s="204"/>
      <c r="G86" s="217">
        <f>'WS A - RB Support'!I42</f>
        <v>320332408.66288882</v>
      </c>
      <c r="H86" s="217"/>
      <c r="I86" s="218" t="s">
        <v>132</v>
      </c>
      <c r="J86" s="219">
        <f>L257</f>
        <v>0.10678464326444631</v>
      </c>
      <c r="K86" s="204"/>
      <c r="L86" s="242">
        <f t="shared" si="2"/>
        <v>34206581.985107414</v>
      </c>
    </row>
    <row r="87" spans="1:12" ht="15">
      <c r="A87" s="199"/>
      <c r="B87" s="205">
        <f t="shared" si="1"/>
        <v>37</v>
      </c>
      <c r="C87" s="253"/>
      <c r="D87" s="203" t="s">
        <v>376</v>
      </c>
      <c r="E87" s="204" t="str">
        <f>"(Worksheet A ln "&amp;'WS A - RB Support'!A42&amp;"."&amp;'WS A - RB Support'!J27&amp;")"</f>
        <v>(Worksheet A ln 28.(i))</v>
      </c>
      <c r="F87" s="204"/>
      <c r="G87" s="242">
        <f>-'WS A - RB Support'!J42</f>
        <v>-958596.93184968631</v>
      </c>
      <c r="H87" s="217"/>
      <c r="I87" s="218" t="s">
        <v>132</v>
      </c>
      <c r="J87" s="219">
        <f>L257</f>
        <v>0.10678464326444631</v>
      </c>
      <c r="K87" s="204"/>
      <c r="L87" s="242">
        <f t="shared" si="2"/>
        <v>-102363.4314019615</v>
      </c>
    </row>
    <row r="88" spans="1:12" ht="15">
      <c r="A88" s="199"/>
      <c r="B88" s="205">
        <f t="shared" si="1"/>
        <v>38</v>
      </c>
      <c r="C88" s="253"/>
      <c r="D88" s="203" t="str">
        <f>+D74</f>
        <v xml:space="preserve">  Intangible Plant</v>
      </c>
      <c r="E88" s="204" t="str">
        <f>"(Worksheet A ln "&amp;'WS A - RB Support'!A42&amp;"."&amp;'WS A - RB Support'!K27&amp;")"</f>
        <v>(Worksheet A ln 28.(j))</v>
      </c>
      <c r="F88" s="204"/>
      <c r="G88" s="217">
        <f>'WS A - RB Support'!K42</f>
        <v>15565297.354654282</v>
      </c>
      <c r="H88" s="217"/>
      <c r="I88" s="218" t="s">
        <v>132</v>
      </c>
      <c r="J88" s="219">
        <f>L257</f>
        <v>0.10678464326444631</v>
      </c>
      <c r="K88" s="204"/>
      <c r="L88" s="1166">
        <f t="shared" si="2"/>
        <v>1662134.7253217874</v>
      </c>
    </row>
    <row r="89" spans="1:12" ht="15">
      <c r="A89" s="199"/>
      <c r="B89" s="205"/>
      <c r="C89" s="253"/>
      <c r="D89" s="203"/>
      <c r="E89" s="204"/>
      <c r="F89" s="204"/>
      <c r="G89" s="217"/>
      <c r="H89" s="217"/>
      <c r="I89" s="218"/>
      <c r="J89" s="219"/>
      <c r="K89" s="204"/>
      <c r="L89" s="242"/>
    </row>
    <row r="90" spans="1:12" ht="15.75" thickBot="1">
      <c r="A90" s="199"/>
      <c r="B90" s="205"/>
      <c r="C90" s="253"/>
      <c r="D90" s="203"/>
      <c r="E90" s="204"/>
      <c r="F90" s="204"/>
      <c r="G90" s="299"/>
      <c r="H90" s="217"/>
      <c r="I90" s="218"/>
      <c r="J90" s="219"/>
      <c r="K90" s="204"/>
      <c r="L90" s="299"/>
    </row>
    <row r="91" spans="1:12" ht="15">
      <c r="A91" s="199"/>
      <c r="B91" s="205">
        <f>+B88+1</f>
        <v>39</v>
      </c>
      <c r="C91" s="253"/>
      <c r="D91" s="203" t="s">
        <v>46</v>
      </c>
      <c r="E91" s="1165" t="str">
        <f>"(sum lns "&amp;B80&amp;" to "&amp;B88&amp;")"</f>
        <v>(sum lns 30 to 38)</v>
      </c>
      <c r="F91" s="1191"/>
      <c r="G91" s="217">
        <f>SUM(G80:G90)</f>
        <v>5885103347.3440876</v>
      </c>
      <c r="H91" s="217"/>
      <c r="I91" s="218"/>
      <c r="J91" s="204"/>
      <c r="K91" s="217"/>
      <c r="L91" s="217">
        <f>SUM(L80:L90)</f>
        <v>1098437195.3489871</v>
      </c>
    </row>
    <row r="92" spans="1:12" ht="15">
      <c r="A92" s="199"/>
      <c r="B92" s="205"/>
      <c r="C92" s="206"/>
      <c r="D92" s="199"/>
      <c r="E92" s="1192"/>
      <c r="F92" s="1191"/>
      <c r="G92" s="217"/>
      <c r="H92" s="217"/>
      <c r="I92" s="218"/>
      <c r="J92" s="254"/>
      <c r="K92" s="204"/>
      <c r="L92" s="217"/>
    </row>
    <row r="93" spans="1:12" ht="15">
      <c r="A93" s="199"/>
      <c r="B93" s="205">
        <f>+B91+1</f>
        <v>40</v>
      </c>
      <c r="C93" s="206"/>
      <c r="D93" s="203" t="s">
        <v>83</v>
      </c>
      <c r="E93" s="218"/>
      <c r="F93" s="218"/>
      <c r="G93" s="217"/>
      <c r="H93" s="217"/>
      <c r="I93" s="218"/>
      <c r="J93" s="204"/>
      <c r="K93" s="204"/>
      <c r="L93" s="217"/>
    </row>
    <row r="94" spans="1:12" ht="15">
      <c r="A94" s="199"/>
      <c r="B94" s="205">
        <f t="shared" ref="B94:B98" si="3">+B93+1</f>
        <v>41</v>
      </c>
      <c r="C94" s="253"/>
      <c r="D94" s="203" t="str">
        <f>+D80</f>
        <v xml:space="preserve">  Production</v>
      </c>
      <c r="E94" s="204" t="str">
        <f>" (ln "&amp;B66&amp;" + ln "&amp;B67&amp;" - ln "&amp;B80&amp;" - ln "&amp;B81&amp;")"</f>
        <v xml:space="preserve"> (ln 19 + ln 20 - ln 30 - ln 31)</v>
      </c>
      <c r="F94" s="204"/>
      <c r="G94" s="217">
        <f>G66+G67-G80-G81</f>
        <v>2379204502.495132</v>
      </c>
      <c r="H94" s="217"/>
      <c r="I94" s="218"/>
      <c r="J94" s="255"/>
      <c r="K94" s="204"/>
      <c r="L94" s="217">
        <f>L66+L67-L80-L81</f>
        <v>0</v>
      </c>
    </row>
    <row r="95" spans="1:12" ht="15">
      <c r="A95" s="199"/>
      <c r="B95" s="205">
        <f t="shared" si="3"/>
        <v>42</v>
      </c>
      <c r="C95" s="253"/>
      <c r="D95" s="203" t="str">
        <f>+D82</f>
        <v xml:space="preserve">  Transmission</v>
      </c>
      <c r="E95" s="204" t="str">
        <f>" (ln "&amp;B68&amp;" + ln "&amp;B69&amp;" - ln "&amp;B82&amp;" - ln "&amp;B83&amp;")"</f>
        <v xml:space="preserve"> (ln 21 + ln 22 - ln 32 - ln 33)</v>
      </c>
      <c r="F95" s="204"/>
      <c r="G95" s="217">
        <f>+G68+G69-G82-G83</f>
        <v>4281811290.7118554</v>
      </c>
      <c r="H95" s="217"/>
      <c r="I95" s="218"/>
      <c r="J95" s="256"/>
      <c r="K95" s="204"/>
      <c r="L95" s="217">
        <f>+L68+L69-L82-L83</f>
        <v>4229847016.2497869</v>
      </c>
    </row>
    <row r="96" spans="1:12" ht="15">
      <c r="A96" s="199"/>
      <c r="B96" s="205">
        <f>+B95+1</f>
        <v>43</v>
      </c>
      <c r="C96" s="253"/>
      <c r="D96" s="203" t="str">
        <f>+D84</f>
        <v xml:space="preserve">  Distribution</v>
      </c>
      <c r="E96" s="204" t="str">
        <f>" (ln "&amp;B70&amp;" + ln "&amp;B71&amp;" - ln "&amp;B84&amp;" - ln "&amp;B85&amp;")"</f>
        <v xml:space="preserve"> (ln 23 + ln 24 - ln 34 - ln 35)</v>
      </c>
      <c r="F96" s="204"/>
      <c r="G96" s="217">
        <f>+G70+G71-G84-G85</f>
        <v>4190702203.6453977</v>
      </c>
      <c r="H96" s="217"/>
      <c r="I96" s="218"/>
      <c r="J96" s="254"/>
      <c r="K96" s="204"/>
      <c r="L96" s="217">
        <f>+L70+L71-L84-L85</f>
        <v>0</v>
      </c>
    </row>
    <row r="97" spans="1:12" ht="15">
      <c r="A97" s="199"/>
      <c r="B97" s="205">
        <f t="shared" si="3"/>
        <v>44</v>
      </c>
      <c r="C97" s="253"/>
      <c r="D97" s="203" t="str">
        <f>+D86</f>
        <v xml:space="preserve">  General Plant   </v>
      </c>
      <c r="E97" s="204" t="str">
        <f>" (ln "&amp;B72&amp;" + ln "&amp;B73&amp;" - ln "&amp;B86&amp;" - ln "&amp;B87&amp;")"</f>
        <v xml:space="preserve"> (ln 25 + ln 26 - ln 36 - ln 37)</v>
      </c>
      <c r="F97" s="204"/>
      <c r="G97" s="217">
        <f>+G72+G73-G86-G87</f>
        <v>694608929.13009095</v>
      </c>
      <c r="H97" s="217"/>
      <c r="I97" s="218"/>
      <c r="J97" s="254"/>
      <c r="K97" s="204"/>
      <c r="L97" s="217">
        <f>+L72+L73-L86-L87</f>
        <v>74173566.70545584</v>
      </c>
    </row>
    <row r="98" spans="1:12" ht="15">
      <c r="A98" s="199"/>
      <c r="B98" s="205">
        <f t="shared" si="3"/>
        <v>45</v>
      </c>
      <c r="C98" s="253"/>
      <c r="D98" s="203" t="str">
        <f>+D88</f>
        <v xml:space="preserve">  Intangible Plant</v>
      </c>
      <c r="E98" s="204" t="str">
        <f>" (ln "&amp;B74&amp;" - ln "&amp;B88&amp;")"</f>
        <v xml:space="preserve"> (ln 27 - ln 38)</v>
      </c>
      <c r="F98" s="204"/>
      <c r="G98" s="217">
        <f>+G74-G88</f>
        <v>4936782.3953457177</v>
      </c>
      <c r="H98" s="217"/>
      <c r="I98" s="218"/>
      <c r="J98" s="254"/>
      <c r="K98" s="204"/>
      <c r="L98" s="217">
        <f>+L74-L88</f>
        <v>527172.54696119111</v>
      </c>
    </row>
    <row r="99" spans="1:12" ht="15.75" thickBot="1">
      <c r="A99" s="199"/>
      <c r="B99" s="205"/>
      <c r="C99" s="253"/>
      <c r="D99" s="203"/>
      <c r="E99" s="204"/>
      <c r="F99" s="204"/>
      <c r="G99" s="248"/>
      <c r="H99" s="217"/>
      <c r="I99" s="218"/>
      <c r="J99" s="254"/>
      <c r="K99" s="204"/>
      <c r="L99" s="248"/>
    </row>
    <row r="100" spans="1:12" ht="15.75">
      <c r="A100" s="199"/>
      <c r="B100" s="205">
        <f>+B98+1</f>
        <v>46</v>
      </c>
      <c r="C100" s="253"/>
      <c r="D100" s="203" t="s">
        <v>45</v>
      </c>
      <c r="E100" s="203" t="str">
        <f>"(sum lns "&amp;B94&amp;" to "&amp;B98&amp;")"</f>
        <v>(sum lns 41 to 45)</v>
      </c>
      <c r="F100" s="204"/>
      <c r="G100" s="217">
        <f>SUM(G94:G99)</f>
        <v>11551263708.377821</v>
      </c>
      <c r="H100" s="217"/>
      <c r="I100" s="236" t="s">
        <v>754</v>
      </c>
      <c r="J100" s="249">
        <f>+L100/G100</f>
        <v>0.37264734527532528</v>
      </c>
      <c r="K100" s="204"/>
      <c r="L100" s="217">
        <f>SUM(L94:L99)</f>
        <v>4304547755.5022039</v>
      </c>
    </row>
    <row r="101" spans="1:12" ht="15">
      <c r="A101" s="199"/>
      <c r="B101" s="205"/>
      <c r="C101" s="206"/>
      <c r="D101" s="203"/>
      <c r="E101" s="204"/>
      <c r="F101" s="204"/>
      <c r="G101" s="217"/>
      <c r="H101" s="217"/>
      <c r="I101" s="263"/>
      <c r="J101" s="258"/>
      <c r="K101" s="204"/>
      <c r="L101" s="217"/>
    </row>
    <row r="102" spans="1:12" ht="15">
      <c r="A102" s="199"/>
      <c r="B102" s="205"/>
      <c r="C102" s="206"/>
      <c r="D102" s="199"/>
      <c r="E102" s="199"/>
      <c r="F102" s="199"/>
      <c r="G102" s="4"/>
      <c r="H102" s="4"/>
      <c r="I102" s="67"/>
      <c r="J102" s="4"/>
      <c r="K102" s="4"/>
      <c r="L102" s="4"/>
    </row>
    <row r="103" spans="1:12" ht="15">
      <c r="A103" s="199"/>
      <c r="B103" s="205">
        <f>+B100+1</f>
        <v>47</v>
      </c>
      <c r="C103" s="206"/>
      <c r="D103" s="203" t="s">
        <v>326</v>
      </c>
      <c r="E103" s="204" t="s">
        <v>303</v>
      </c>
      <c r="F103" s="218"/>
      <c r="G103" s="4"/>
      <c r="H103" s="4"/>
      <c r="I103" s="67"/>
      <c r="J103" s="4"/>
      <c r="K103" s="4"/>
      <c r="L103" s="4"/>
    </row>
    <row r="104" spans="1:12" ht="15">
      <c r="A104" s="199"/>
      <c r="B104" s="205">
        <f t="shared" ref="B104:B109" si="4">+B103+1</f>
        <v>48</v>
      </c>
      <c r="C104" s="253"/>
      <c r="D104" s="203" t="s">
        <v>193</v>
      </c>
      <c r="E104" s="204" t="s">
        <v>536</v>
      </c>
      <c r="F104" s="204"/>
      <c r="G104" s="217">
        <f>-'WS B ADIT &amp; ITC'!I17</f>
        <v>-194459091.69999999</v>
      </c>
      <c r="H104" s="217"/>
      <c r="I104" s="218" t="s">
        <v>127</v>
      </c>
      <c r="J104" s="219"/>
      <c r="K104" s="204"/>
      <c r="L104" s="217">
        <f>'WS B ADIT &amp; ITC'!I20</f>
        <v>0</v>
      </c>
    </row>
    <row r="105" spans="1:12" ht="15">
      <c r="A105" s="199"/>
      <c r="B105" s="205">
        <f t="shared" si="4"/>
        <v>49</v>
      </c>
      <c r="C105" s="253"/>
      <c r="D105" s="203" t="s">
        <v>194</v>
      </c>
      <c r="E105" s="204" t="s">
        <v>537</v>
      </c>
      <c r="F105" s="204"/>
      <c r="G105" s="217">
        <f>-'WS B ADIT &amp; ITC'!I25</f>
        <v>-1902290896.2461884</v>
      </c>
      <c r="H105" s="217"/>
      <c r="I105" s="218" t="s">
        <v>129</v>
      </c>
      <c r="J105" s="219"/>
      <c r="K105" s="204"/>
      <c r="L105" s="217">
        <f>-'WS B ADIT &amp; ITC'!I28</f>
        <v>-628995993.25292325</v>
      </c>
    </row>
    <row r="106" spans="1:12" ht="15">
      <c r="A106" s="199"/>
      <c r="B106" s="205">
        <f t="shared" si="4"/>
        <v>50</v>
      </c>
      <c r="C106" s="253"/>
      <c r="D106" s="203" t="s">
        <v>195</v>
      </c>
      <c r="E106" s="204" t="s">
        <v>538</v>
      </c>
      <c r="F106" s="204"/>
      <c r="G106" s="217">
        <f>-'WS B ADIT &amp; ITC'!I33</f>
        <v>-390280803.21915674</v>
      </c>
      <c r="H106" s="217"/>
      <c r="I106" s="218" t="s">
        <v>129</v>
      </c>
      <c r="J106" s="219"/>
      <c r="K106" s="204"/>
      <c r="L106" s="217">
        <f>-'WS B ADIT &amp; ITC'!I36</f>
        <v>-35438173.015778601</v>
      </c>
    </row>
    <row r="107" spans="1:12" ht="15">
      <c r="A107" s="199"/>
      <c r="B107" s="205">
        <f t="shared" si="4"/>
        <v>51</v>
      </c>
      <c r="C107" s="253"/>
      <c r="D107" s="203" t="s">
        <v>196</v>
      </c>
      <c r="E107" s="204" t="s">
        <v>539</v>
      </c>
      <c r="F107" s="204"/>
      <c r="G107" s="217">
        <f>'WS B ADIT &amp; ITC'!I41</f>
        <v>208673838.96817511</v>
      </c>
      <c r="H107" s="217"/>
      <c r="I107" s="218" t="s">
        <v>129</v>
      </c>
      <c r="J107" s="219"/>
      <c r="K107" s="204"/>
      <c r="L107" s="217">
        <f>'WS B ADIT &amp; ITC'!I44</f>
        <v>12681552.854400471</v>
      </c>
    </row>
    <row r="108" spans="1:12" ht="15.75" thickBot="1">
      <c r="A108" s="199"/>
      <c r="B108" s="205">
        <f t="shared" si="4"/>
        <v>52</v>
      </c>
      <c r="C108" s="253"/>
      <c r="D108" s="199" t="s">
        <v>134</v>
      </c>
      <c r="E108" s="204" t="s">
        <v>540</v>
      </c>
      <c r="F108" s="199"/>
      <c r="G108" s="248">
        <f>-'WS B ADIT &amp; ITC'!I51</f>
        <v>-531</v>
      </c>
      <c r="H108" s="217"/>
      <c r="I108" s="218" t="s">
        <v>129</v>
      </c>
      <c r="J108" s="219"/>
      <c r="K108" s="204"/>
      <c r="L108" s="248">
        <f>-'WS B ADIT &amp; ITC'!I52</f>
        <v>-531</v>
      </c>
    </row>
    <row r="109" spans="1:12" ht="15">
      <c r="A109" s="199"/>
      <c r="B109" s="205">
        <f t="shared" si="4"/>
        <v>53</v>
      </c>
      <c r="C109" s="253"/>
      <c r="D109" s="203" t="s">
        <v>92</v>
      </c>
      <c r="E109" s="203" t="str">
        <f>"(sum lns "&amp;B104&amp;" to "&amp;B108&amp;")"</f>
        <v>(sum lns 48 to 52)</v>
      </c>
      <c r="F109" s="204"/>
      <c r="G109" s="217">
        <f>SUM(G104:G108)</f>
        <v>-2278357483.1971703</v>
      </c>
      <c r="H109" s="4"/>
      <c r="I109" s="218"/>
      <c r="J109" s="259"/>
      <c r="K109" s="204"/>
      <c r="L109" s="217">
        <f>SUM(L104:L108)</f>
        <v>-651753144.41430128</v>
      </c>
    </row>
    <row r="110" spans="1:12" ht="15">
      <c r="A110" s="199"/>
      <c r="B110" s="205"/>
      <c r="C110" s="206"/>
      <c r="D110" s="203"/>
      <c r="E110" s="204"/>
      <c r="F110" s="204"/>
      <c r="G110" s="217"/>
      <c r="H110" s="4"/>
      <c r="I110" s="218"/>
      <c r="J110" s="254"/>
      <c r="K110" s="204"/>
      <c r="L110" s="217"/>
    </row>
    <row r="111" spans="1:12" ht="15">
      <c r="A111" s="199"/>
      <c r="B111" s="205">
        <f>+B109+1</f>
        <v>54</v>
      </c>
      <c r="C111" s="206"/>
      <c r="D111" s="203" t="s">
        <v>205</v>
      </c>
      <c r="E111" s="204" t="str">
        <f>"(Worksheet A ln "&amp;'WS A - RB Support'!A69&amp;"."&amp;'WS A - RB Support'!F68&amp;" &amp; "&amp;"ln "&amp;'WS A - RB Support'!A71&amp;"."&amp;'WS A - RB Support'!F68&amp;")"</f>
        <v>(Worksheet A ln 44.(e) &amp; ln 45.(e))</v>
      </c>
      <c r="F111" s="204"/>
      <c r="G111" s="217">
        <f>'WS A - RB Support'!F69</f>
        <v>3271158.8899999997</v>
      </c>
      <c r="H111" s="4"/>
      <c r="I111" s="218" t="s">
        <v>129</v>
      </c>
      <c r="J111" s="219"/>
      <c r="K111" s="204"/>
      <c r="L111" s="217">
        <f>'WS A - RB Support'!F71</f>
        <v>1573244.76</v>
      </c>
    </row>
    <row r="112" spans="1:12" ht="15">
      <c r="A112" s="199"/>
      <c r="B112" s="205"/>
      <c r="C112" s="206"/>
      <c r="D112" s="203"/>
      <c r="E112" s="204"/>
      <c r="F112" s="204"/>
      <c r="G112" s="217"/>
      <c r="H112" s="4"/>
      <c r="I112" s="218"/>
      <c r="J112" s="219"/>
      <c r="K112" s="204"/>
      <c r="L112" s="217"/>
    </row>
    <row r="113" spans="1:12" ht="15">
      <c r="A113" s="199"/>
      <c r="B113" s="205">
        <f>+B111+1</f>
        <v>55</v>
      </c>
      <c r="C113" s="206"/>
      <c r="D113" s="203" t="s">
        <v>327</v>
      </c>
      <c r="E113" s="204" t="str">
        <f>"(Worksheet A ln "&amp;'WS A - RB Support'!A80&amp;"."&amp;'WS A - RB Support'!F68&amp;")"</f>
        <v>(Worksheet A ln 51.(e))</v>
      </c>
      <c r="F113" s="204"/>
      <c r="G113" s="217">
        <f>'WS A - RB Support'!F80</f>
        <v>0</v>
      </c>
      <c r="H113" s="4"/>
      <c r="I113" s="218" t="s">
        <v>129</v>
      </c>
      <c r="J113" s="204"/>
      <c r="K113" s="204"/>
      <c r="L113" s="217">
        <f>+G113</f>
        <v>0</v>
      </c>
    </row>
    <row r="114" spans="1:12" ht="15">
      <c r="A114" s="199"/>
      <c r="B114" s="205"/>
      <c r="C114" s="206"/>
      <c r="D114" s="203"/>
      <c r="E114" s="204"/>
      <c r="F114" s="204"/>
      <c r="G114" s="217"/>
      <c r="H114" s="4"/>
      <c r="I114" s="218"/>
      <c r="J114" s="204"/>
      <c r="K114" s="204"/>
      <c r="L114" s="217"/>
    </row>
    <row r="115" spans="1:12" ht="14.25" customHeight="1">
      <c r="A115" s="199"/>
      <c r="B115" s="205">
        <f>+B113+1</f>
        <v>56</v>
      </c>
      <c r="C115" s="253"/>
      <c r="D115" s="213" t="s">
        <v>742</v>
      </c>
      <c r="E115" s="204" t="str">
        <f>"(Worksheet A ln "&amp;'WS A - RB Support'!A88&amp;"."&amp;'WS A - RB Support'!F68&amp;")"</f>
        <v>(Worksheet A ln 54.(e))</v>
      </c>
      <c r="F115" s="204"/>
      <c r="G115" s="217">
        <f>-'WS A - RB Support'!F88</f>
        <v>-2741808.73</v>
      </c>
      <c r="H115" s="217"/>
      <c r="I115" s="218" t="s">
        <v>132</v>
      </c>
      <c r="J115" s="219">
        <f>L257</f>
        <v>0.10678464326444631</v>
      </c>
      <c r="K115" s="204"/>
      <c r="L115" s="217">
        <f>G115*J115</f>
        <v>-292783.06713239459</v>
      </c>
    </row>
    <row r="116" spans="1:12" ht="15">
      <c r="A116" s="199"/>
      <c r="B116" s="205"/>
      <c r="C116" s="206"/>
      <c r="D116" s="203"/>
      <c r="E116" s="204"/>
      <c r="F116" s="204"/>
      <c r="G116" s="217"/>
      <c r="H116" s="4"/>
      <c r="I116" s="218"/>
      <c r="J116" s="204"/>
      <c r="K116" s="204"/>
      <c r="L116" s="217"/>
    </row>
    <row r="117" spans="1:12" ht="15">
      <c r="A117" s="199"/>
      <c r="B117" s="205">
        <f>+B115+1</f>
        <v>57</v>
      </c>
      <c r="C117" s="206"/>
      <c r="D117" s="203" t="s">
        <v>93</v>
      </c>
      <c r="E117" s="204" t="s">
        <v>498</v>
      </c>
      <c r="F117" s="204"/>
      <c r="G117" s="217"/>
      <c r="H117" s="166"/>
      <c r="I117" s="218"/>
      <c r="J117" s="204"/>
      <c r="K117" s="204"/>
      <c r="L117" s="217"/>
    </row>
    <row r="118" spans="1:12" ht="15">
      <c r="A118" s="199"/>
      <c r="B118" s="205">
        <f t="shared" ref="B118:B126" si="5">+B117+1</f>
        <v>58</v>
      </c>
      <c r="C118" s="253"/>
      <c r="D118" s="203" t="s">
        <v>204</v>
      </c>
      <c r="E118" s="199" t="str">
        <f>"(1/8 * ln "&amp;B155&amp;")"</f>
        <v>(1/8 * ln 78)</v>
      </c>
      <c r="F118" s="199"/>
      <c r="G118" s="217">
        <f>+G155/8</f>
        <v>7517706.5054967171</v>
      </c>
      <c r="H118" s="204"/>
      <c r="I118" s="218"/>
      <c r="J118" s="254"/>
      <c r="K118" s="204"/>
      <c r="L118" s="217">
        <f>+L155/8</f>
        <v>7401541.918580615</v>
      </c>
    </row>
    <row r="119" spans="1:12" ht="15">
      <c r="A119" s="199"/>
      <c r="B119" s="205">
        <f t="shared" si="5"/>
        <v>59</v>
      </c>
      <c r="C119" s="253"/>
      <c r="D119" s="203" t="s">
        <v>335</v>
      </c>
      <c r="E119" s="204" t="s">
        <v>541</v>
      </c>
      <c r="F119" s="204"/>
      <c r="G119" s="217">
        <f>'WS C  - Working Capital'!I17</f>
        <v>87321</v>
      </c>
      <c r="H119" s="166"/>
      <c r="I119" s="218" t="s">
        <v>120</v>
      </c>
      <c r="J119" s="219">
        <f>L239</f>
        <v>0.98454786884388668</v>
      </c>
      <c r="K119" s="204"/>
      <c r="L119" s="217">
        <f>+J119*G119</f>
        <v>85971.704455317027</v>
      </c>
    </row>
    <row r="120" spans="1:12" ht="15">
      <c r="A120" s="199"/>
      <c r="B120" s="205"/>
      <c r="C120" s="253"/>
      <c r="D120" s="203"/>
      <c r="E120" s="204"/>
      <c r="F120" s="204"/>
      <c r="G120" s="217"/>
      <c r="H120" s="166"/>
      <c r="I120" s="218"/>
      <c r="J120" s="219"/>
      <c r="K120" s="204"/>
      <c r="L120" s="217"/>
    </row>
    <row r="121" spans="1:12" ht="15">
      <c r="A121" s="199"/>
      <c r="B121" s="205">
        <f>+B119+1</f>
        <v>60</v>
      </c>
      <c r="C121" s="253"/>
      <c r="D121" s="203" t="s">
        <v>336</v>
      </c>
      <c r="E121" s="204" t="s">
        <v>542</v>
      </c>
      <c r="F121" s="204"/>
      <c r="G121" s="217">
        <f>'WS C  - Working Capital'!I21</f>
        <v>357654</v>
      </c>
      <c r="H121" s="166"/>
      <c r="I121" s="218" t="s">
        <v>132</v>
      </c>
      <c r="J121" s="219">
        <f>L257</f>
        <v>0.10678464326444631</v>
      </c>
      <c r="K121" s="204"/>
      <c r="L121" s="217">
        <f>+J121*G121</f>
        <v>38191.954802102278</v>
      </c>
    </row>
    <row r="122" spans="1:12" ht="15">
      <c r="A122" s="199"/>
      <c r="B122" s="205">
        <f t="shared" si="5"/>
        <v>61</v>
      </c>
      <c r="C122" s="253"/>
      <c r="D122" s="203" t="s">
        <v>529</v>
      </c>
      <c r="E122" s="204" t="s">
        <v>543</v>
      </c>
      <c r="F122" s="204"/>
      <c r="G122" s="217">
        <f>'WS C  - Working Capital'!I23</f>
        <v>0</v>
      </c>
      <c r="H122" s="166"/>
      <c r="I122" s="218" t="s">
        <v>753</v>
      </c>
      <c r="J122" s="219">
        <f>J77</f>
        <v>0.30986873203487364</v>
      </c>
      <c r="K122" s="204"/>
      <c r="L122" s="217">
        <f>+J122*G122</f>
        <v>0</v>
      </c>
    </row>
    <row r="123" spans="1:12" ht="15">
      <c r="A123" s="199"/>
      <c r="B123" s="205">
        <f t="shared" si="5"/>
        <v>62</v>
      </c>
      <c r="C123" s="253"/>
      <c r="D123" s="203" t="s">
        <v>208</v>
      </c>
      <c r="E123" s="204" t="s">
        <v>572</v>
      </c>
      <c r="F123" s="204"/>
      <c r="G123" s="217">
        <f>'WS C  - Working Capital'!J33</f>
        <v>328785558.07200003</v>
      </c>
      <c r="H123" s="4"/>
      <c r="I123" s="218" t="s">
        <v>132</v>
      </c>
      <c r="J123" s="219">
        <f>L257</f>
        <v>0.10678464326444631</v>
      </c>
      <c r="K123" s="204"/>
      <c r="L123" s="217">
        <f>+J123*G123</f>
        <v>35109248.529220417</v>
      </c>
    </row>
    <row r="124" spans="1:12" ht="15">
      <c r="A124" s="199"/>
      <c r="B124" s="205">
        <f t="shared" si="5"/>
        <v>63</v>
      </c>
      <c r="C124" s="253"/>
      <c r="D124" s="203" t="s">
        <v>209</v>
      </c>
      <c r="E124" s="204" t="s">
        <v>571</v>
      </c>
      <c r="F124" s="204"/>
      <c r="G124" s="217">
        <f>'WS C  - Working Capital'!I33</f>
        <v>7553028.2561086435</v>
      </c>
      <c r="H124" s="4"/>
      <c r="I124" s="218" t="s">
        <v>753</v>
      </c>
      <c r="J124" s="219">
        <f>J77</f>
        <v>0.30986873203487364</v>
      </c>
      <c r="K124" s="204"/>
      <c r="L124" s="217">
        <f>+G124*J124</f>
        <v>2340447.2887439583</v>
      </c>
    </row>
    <row r="125" spans="1:12" ht="15">
      <c r="A125" s="199"/>
      <c r="B125" s="205">
        <f t="shared" si="5"/>
        <v>64</v>
      </c>
      <c r="C125" s="253"/>
      <c r="D125" s="203" t="s">
        <v>305</v>
      </c>
      <c r="E125" s="204" t="s">
        <v>573</v>
      </c>
      <c r="F125" s="204"/>
      <c r="G125" s="217">
        <f>'WS C  - Working Capital'!G33</f>
        <v>0</v>
      </c>
      <c r="H125" s="4"/>
      <c r="I125" s="218" t="s">
        <v>129</v>
      </c>
      <c r="J125" s="219">
        <v>1</v>
      </c>
      <c r="K125" s="204"/>
      <c r="L125" s="217">
        <f>+G125*J125</f>
        <v>0</v>
      </c>
    </row>
    <row r="126" spans="1:12" ht="15.75" thickBot="1">
      <c r="A126" s="199"/>
      <c r="B126" s="205">
        <f t="shared" si="5"/>
        <v>65</v>
      </c>
      <c r="C126" s="253"/>
      <c r="D126" s="203" t="s">
        <v>105</v>
      </c>
      <c r="E126" s="204" t="s">
        <v>574</v>
      </c>
      <c r="F126" s="204"/>
      <c r="G126" s="248">
        <f>'WS C  - Working Capital'!E33</f>
        <v>-284257358.22814035</v>
      </c>
      <c r="H126" s="217"/>
      <c r="I126" s="218" t="s">
        <v>127</v>
      </c>
      <c r="J126" s="219">
        <v>0</v>
      </c>
      <c r="K126" s="204"/>
      <c r="L126" s="248">
        <f>+G126*J126</f>
        <v>0</v>
      </c>
    </row>
    <row r="127" spans="1:12" ht="15">
      <c r="A127" s="199"/>
      <c r="B127" s="205">
        <f>+B126+1</f>
        <v>66</v>
      </c>
      <c r="C127" s="253"/>
      <c r="D127" s="203" t="s">
        <v>44</v>
      </c>
      <c r="E127" s="203" t="str">
        <f>"(sum lns "&amp;B118&amp;" to "&amp;B126&amp;")"</f>
        <v>(sum lns 58 to 65)</v>
      </c>
      <c r="F127" s="203"/>
      <c r="G127" s="217">
        <f>SUM(G118:G126)</f>
        <v>60043909.605465055</v>
      </c>
      <c r="H127" s="203"/>
      <c r="I127" s="206"/>
      <c r="J127" s="203"/>
      <c r="K127" s="203"/>
      <c r="L127" s="217">
        <f>SUM(L118:L126)</f>
        <v>44975401.395802408</v>
      </c>
    </row>
    <row r="128" spans="1:12" ht="15">
      <c r="A128" s="199"/>
      <c r="B128" s="205"/>
      <c r="C128" s="206"/>
      <c r="D128" s="203"/>
      <c r="E128" s="203"/>
      <c r="F128" s="203"/>
      <c r="G128" s="217"/>
      <c r="H128" s="203"/>
      <c r="I128" s="206"/>
      <c r="J128" s="203"/>
      <c r="K128" s="203"/>
      <c r="L128" s="217"/>
    </row>
    <row r="129" spans="1:12" ht="15">
      <c r="A129" s="199"/>
      <c r="B129" s="205">
        <f>+B127+1</f>
        <v>67</v>
      </c>
      <c r="C129" s="206"/>
      <c r="D129" s="203" t="s">
        <v>31</v>
      </c>
      <c r="E129" s="203" t="s">
        <v>544</v>
      </c>
      <c r="F129" s="203"/>
      <c r="G129" s="217">
        <f>+'WS D IPP Credits'!C23</f>
        <v>0</v>
      </c>
      <c r="H129" s="203"/>
      <c r="I129" s="260" t="s">
        <v>129</v>
      </c>
      <c r="J129" s="219">
        <v>1</v>
      </c>
      <c r="K129" s="204"/>
      <c r="L129" s="217">
        <f>+J129*G129</f>
        <v>0</v>
      </c>
    </row>
    <row r="130" spans="1:12" ht="15.75" thickBot="1">
      <c r="A130" s="199"/>
      <c r="B130" s="205"/>
      <c r="C130" s="199"/>
      <c r="D130" s="199"/>
      <c r="E130" s="204"/>
      <c r="F130" s="204"/>
      <c r="G130" s="248"/>
      <c r="H130" s="204"/>
      <c r="I130" s="218"/>
      <c r="J130" s="204"/>
      <c r="K130" s="204"/>
      <c r="L130" s="248"/>
    </row>
    <row r="131" spans="1:12" ht="15.75" thickBot="1">
      <c r="A131" s="199"/>
      <c r="B131" s="205">
        <f>+B129+1</f>
        <v>68</v>
      </c>
      <c r="C131" s="206"/>
      <c r="D131" s="203" t="str">
        <f>"RATE BASE  (sum lns "&amp;B100&amp;", "&amp;B109&amp;", "&amp;B111&amp;", "&amp;B113&amp;", "&amp;B115&amp;", "&amp;B127&amp;", "&amp;B129&amp;")"</f>
        <v>RATE BASE  (sum lns 46, 53, 54, 55, 56, 66, 67)</v>
      </c>
      <c r="E131" s="204"/>
      <c r="F131" s="204"/>
      <c r="G131" s="733">
        <f>+G127+G111+G109+G100+G129+G113+G115</f>
        <v>9333479484.9461174</v>
      </c>
      <c r="H131" s="204"/>
      <c r="I131" s="204"/>
      <c r="J131" s="254"/>
      <c r="K131" s="204"/>
      <c r="L131" s="733">
        <f>+L127+L111+L109+L100+L129+L113+L115</f>
        <v>3699050474.1765723</v>
      </c>
    </row>
    <row r="132" spans="1:12" ht="16.5" thickTop="1">
      <c r="A132" s="199"/>
      <c r="B132" s="205"/>
      <c r="C132" s="155"/>
      <c r="D132" s="155"/>
      <c r="E132" s="155"/>
      <c r="F132" s="155"/>
      <c r="G132" s="155"/>
      <c r="H132" s="155"/>
      <c r="I132" s="202"/>
      <c r="J132" s="202"/>
      <c r="K132" s="202"/>
      <c r="L132" s="703"/>
    </row>
    <row r="133" spans="1:12" ht="15">
      <c r="A133" s="199"/>
      <c r="B133" s="261"/>
      <c r="C133" s="206"/>
      <c r="D133" s="203"/>
      <c r="E133" s="204"/>
      <c r="F133" s="204"/>
      <c r="G133" s="204"/>
      <c r="H133" s="204"/>
      <c r="I133" s="204"/>
      <c r="J133" s="204"/>
      <c r="K133" s="204"/>
      <c r="L133" s="204"/>
    </row>
    <row r="134" spans="1:12" ht="15">
      <c r="A134" s="199"/>
      <c r="B134" s="261"/>
      <c r="C134" s="206"/>
      <c r="D134" s="203"/>
      <c r="E134" s="204"/>
      <c r="F134" s="218" t="str">
        <f>F54</f>
        <v xml:space="preserve">AEP East Companies </v>
      </c>
      <c r="G134" s="218"/>
      <c r="H134" s="204"/>
      <c r="I134" s="204"/>
      <c r="J134" s="204"/>
      <c r="K134" s="204"/>
      <c r="L134" s="204"/>
    </row>
    <row r="135" spans="1:12" ht="15">
      <c r="A135" s="199"/>
      <c r="B135" s="261"/>
      <c r="C135" s="206"/>
      <c r="D135" s="203"/>
      <c r="E135" s="204"/>
      <c r="F135" s="218" t="str">
        <f>F55</f>
        <v>Transmission Cost of Service Formula Rate</v>
      </c>
      <c r="G135" s="218"/>
      <c r="H135" s="204"/>
      <c r="I135" s="204"/>
      <c r="J135" s="204"/>
      <c r="K135" s="204"/>
      <c r="L135" s="204"/>
    </row>
    <row r="136" spans="1:12" ht="15">
      <c r="A136" s="199"/>
      <c r="B136" s="261"/>
      <c r="C136" s="206"/>
      <c r="D136" s="199"/>
      <c r="E136" s="204"/>
      <c r="F136" s="218" t="str">
        <f>F56</f>
        <v>Utilizing  Actual/Projected FERC Form 1 Data</v>
      </c>
      <c r="G136" s="204"/>
      <c r="H136" s="204"/>
      <c r="I136" s="204"/>
      <c r="J136" s="204"/>
      <c r="K136" s="204"/>
      <c r="L136" s="204"/>
    </row>
    <row r="137" spans="1:12" ht="15">
      <c r="A137" s="199"/>
      <c r="B137" s="261"/>
      <c r="C137" s="206"/>
      <c r="D137" s="199"/>
      <c r="E137" s="204"/>
      <c r="F137" s="218"/>
      <c r="G137" s="204"/>
      <c r="H137" s="204"/>
      <c r="I137" s="204"/>
      <c r="J137" s="204"/>
      <c r="K137" s="204"/>
      <c r="L137" s="204"/>
    </row>
    <row r="138" spans="1:12" ht="15">
      <c r="A138" s="199"/>
      <c r="B138" s="261"/>
      <c r="C138" s="206"/>
      <c r="D138" s="199"/>
      <c r="E138" s="263"/>
      <c r="F138" s="218" t="str">
        <f>F58</f>
        <v>Appalachian Power Company</v>
      </c>
      <c r="G138" s="263"/>
      <c r="H138" s="263"/>
      <c r="I138" s="263"/>
      <c r="J138" s="263"/>
      <c r="K138" s="263"/>
      <c r="L138" s="199"/>
    </row>
    <row r="139" spans="1:12" ht="15">
      <c r="A139" s="199"/>
      <c r="B139" s="261"/>
      <c r="C139" s="206"/>
      <c r="D139" s="199"/>
      <c r="E139" s="263"/>
      <c r="F139" s="218"/>
      <c r="G139" s="263"/>
      <c r="H139" s="263"/>
      <c r="I139" s="263"/>
      <c r="J139" s="263"/>
      <c r="K139" s="263"/>
      <c r="L139" s="199"/>
    </row>
    <row r="140" spans="1:12" ht="15">
      <c r="A140" s="199"/>
      <c r="B140" s="261"/>
      <c r="C140" s="199"/>
      <c r="D140" s="206" t="s">
        <v>121</v>
      </c>
      <c r="E140" s="206" t="s">
        <v>122</v>
      </c>
      <c r="F140" s="206"/>
      <c r="G140" s="206" t="s">
        <v>123</v>
      </c>
      <c r="H140" s="204"/>
      <c r="I140" s="1210" t="s">
        <v>124</v>
      </c>
      <c r="J140" s="1214"/>
      <c r="K140" s="204"/>
      <c r="L140" s="207" t="s">
        <v>125</v>
      </c>
    </row>
    <row r="141" spans="1:12" ht="15">
      <c r="A141" s="199"/>
      <c r="B141" s="261"/>
      <c r="C141" s="199"/>
      <c r="D141" s="206"/>
      <c r="E141" s="206"/>
      <c r="F141" s="206"/>
      <c r="G141" s="206"/>
      <c r="H141" s="204"/>
      <c r="I141" s="204"/>
      <c r="J141" s="234"/>
      <c r="K141" s="204"/>
      <c r="L141" s="199"/>
    </row>
    <row r="142" spans="1:12" ht="15.75">
      <c r="A142" s="199"/>
      <c r="B142" s="261"/>
      <c r="C142" s="206"/>
      <c r="D142" s="264" t="s">
        <v>101</v>
      </c>
      <c r="E142" s="236" t="str">
        <f>E62</f>
        <v>Data Sources</v>
      </c>
      <c r="F142" s="237"/>
      <c r="G142" s="204"/>
      <c r="H142" s="204"/>
      <c r="I142" s="204"/>
      <c r="J142" s="206"/>
      <c r="K142" s="204"/>
      <c r="L142" s="236" t="str">
        <f>L62</f>
        <v>Total</v>
      </c>
    </row>
    <row r="143" spans="1:12" ht="15.75">
      <c r="A143" s="199"/>
      <c r="B143" s="261"/>
      <c r="C143" s="206"/>
      <c r="D143" s="239" t="s">
        <v>102</v>
      </c>
      <c r="E143" s="265" t="str">
        <f>E63</f>
        <v>(See "General Notes")</v>
      </c>
      <c r="F143" s="204"/>
      <c r="G143" s="265" t="str">
        <f>G63</f>
        <v>TO Total</v>
      </c>
      <c r="H143" s="241"/>
      <c r="I143" s="1212" t="str">
        <f>I63</f>
        <v>Allocator</v>
      </c>
      <c r="J143" s="1213"/>
      <c r="K143" s="241"/>
      <c r="L143" s="265" t="str">
        <f>L63</f>
        <v>Transmission</v>
      </c>
    </row>
    <row r="144" spans="1:12" ht="15.75">
      <c r="A144" s="199"/>
      <c r="B144" s="205" t="str">
        <f>B64</f>
        <v>Line</v>
      </c>
      <c r="C144" s="199"/>
      <c r="D144" s="203"/>
      <c r="E144" s="204"/>
      <c r="F144" s="204"/>
      <c r="G144" s="239"/>
      <c r="H144" s="266"/>
      <c r="I144" s="264"/>
      <c r="J144" s="199"/>
      <c r="K144" s="266"/>
      <c r="L144" s="239"/>
    </row>
    <row r="145" spans="1:12" ht="15">
      <c r="A145" s="199"/>
      <c r="B145" s="205" t="str">
        <f>B65</f>
        <v>No.</v>
      </c>
      <c r="C145" s="206"/>
      <c r="D145" s="203" t="s">
        <v>103</v>
      </c>
      <c r="E145" s="204"/>
      <c r="F145" s="204"/>
      <c r="G145" s="204"/>
      <c r="H145" s="204"/>
      <c r="I145" s="218"/>
      <c r="J145" s="204"/>
      <c r="K145" s="204"/>
      <c r="L145" s="204"/>
    </row>
    <row r="146" spans="1:12" ht="15">
      <c r="A146" s="199"/>
      <c r="B146" s="205">
        <f>+B131+1</f>
        <v>69</v>
      </c>
      <c r="C146" s="206"/>
      <c r="D146" s="203" t="s">
        <v>126</v>
      </c>
      <c r="E146" s="204" t="s">
        <v>10</v>
      </c>
      <c r="F146" s="204"/>
      <c r="G146" s="537">
        <v>1593710060.6459248</v>
      </c>
      <c r="H146" s="204"/>
      <c r="I146" s="218"/>
      <c r="J146" s="219"/>
      <c r="K146" s="204"/>
      <c r="L146" s="217"/>
    </row>
    <row r="147" spans="1:12" ht="15">
      <c r="A147" s="199"/>
      <c r="B147" s="205">
        <f>+B146+1</f>
        <v>70</v>
      </c>
      <c r="C147" s="206"/>
      <c r="D147" s="203" t="s">
        <v>130</v>
      </c>
      <c r="E147" s="204" t="s">
        <v>11</v>
      </c>
      <c r="F147" s="204"/>
      <c r="G147" s="537">
        <v>225770481.99959937</v>
      </c>
      <c r="H147" s="204"/>
      <c r="I147" s="218"/>
      <c r="J147" s="219"/>
      <c r="K147" s="204"/>
      <c r="L147" s="217"/>
    </row>
    <row r="148" spans="1:12" ht="15">
      <c r="A148" s="199"/>
      <c r="B148" s="205">
        <f t="shared" ref="B148:B153" si="6">+B147+1</f>
        <v>71</v>
      </c>
      <c r="C148" s="206"/>
      <c r="D148" s="203" t="s">
        <v>246</v>
      </c>
      <c r="E148" s="204" t="s">
        <v>202</v>
      </c>
      <c r="F148" s="204"/>
      <c r="G148" s="537">
        <v>100499088.36126955</v>
      </c>
      <c r="H148" s="204"/>
      <c r="I148" s="218"/>
      <c r="J148" s="219"/>
      <c r="K148" s="204"/>
      <c r="L148" s="217"/>
    </row>
    <row r="149" spans="1:12" ht="15">
      <c r="A149" s="199"/>
      <c r="B149" s="205">
        <f t="shared" si="6"/>
        <v>72</v>
      </c>
      <c r="C149" s="206"/>
      <c r="D149" s="203" t="s">
        <v>247</v>
      </c>
      <c r="E149" s="204" t="s">
        <v>417</v>
      </c>
      <c r="F149" s="204"/>
      <c r="G149" s="537">
        <v>5135626.3976209406</v>
      </c>
      <c r="H149" s="204"/>
      <c r="I149" s="218"/>
      <c r="J149" s="219"/>
      <c r="K149" s="204"/>
      <c r="L149" s="217"/>
    </row>
    <row r="150" spans="1:12" ht="15.75" thickBot="1">
      <c r="A150" s="199"/>
      <c r="B150" s="205">
        <f t="shared" si="6"/>
        <v>73</v>
      </c>
      <c r="C150" s="206"/>
      <c r="D150" s="203" t="s">
        <v>135</v>
      </c>
      <c r="E150" s="204" t="s">
        <v>416</v>
      </c>
      <c r="F150" s="204"/>
      <c r="G150" s="538">
        <v>518730982.05438948</v>
      </c>
      <c r="H150" s="217"/>
      <c r="I150" s="155"/>
      <c r="J150" s="155"/>
    </row>
    <row r="151" spans="1:12" ht="15">
      <c r="A151" s="199"/>
      <c r="B151" s="205">
        <f t="shared" si="6"/>
        <v>74</v>
      </c>
      <c r="C151" s="206"/>
      <c r="D151" s="203" t="s">
        <v>248</v>
      </c>
      <c r="E151" s="204" t="str">
        <f>"(sum lns "&amp;B146&amp;"  to "&amp;B150&amp;")"</f>
        <v>(sum lns 69  to 73)</v>
      </c>
      <c r="F151" s="204"/>
      <c r="G151" s="217">
        <f>SUM(G146:G150)</f>
        <v>2443846239.4588041</v>
      </c>
      <c r="H151" s="217"/>
      <c r="I151" s="155"/>
      <c r="J151" s="155"/>
    </row>
    <row r="152" spans="1:12" ht="15">
      <c r="A152" s="199"/>
      <c r="B152" s="205">
        <f t="shared" si="6"/>
        <v>75</v>
      </c>
      <c r="C152" s="206"/>
      <c r="D152" s="203" t="s">
        <v>328</v>
      </c>
      <c r="E152" s="204" t="str">
        <f>"(Note G) (Worksheet F, ln "&amp;'WS F Misc Exp'!A33&amp;".C)"</f>
        <v>(Note G) (Worksheet F, ln 14.C)</v>
      </c>
      <c r="F152" s="204"/>
      <c r="G152" s="217">
        <f>'WS F Misc Exp'!D33</f>
        <v>11718434.453522202</v>
      </c>
      <c r="H152" s="217"/>
      <c r="I152" s="155"/>
      <c r="J152" s="155"/>
    </row>
    <row r="153" spans="1:12" ht="15">
      <c r="A153" s="199"/>
      <c r="B153" s="205">
        <f t="shared" si="6"/>
        <v>76</v>
      </c>
      <c r="C153" s="206"/>
      <c r="D153" s="203" t="s">
        <v>23</v>
      </c>
      <c r="E153" s="204" t="s">
        <v>100</v>
      </c>
      <c r="F153" s="204"/>
      <c r="G153" s="537">
        <v>467135943.69516009</v>
      </c>
      <c r="H153" s="217"/>
      <c r="I153" s="155"/>
      <c r="J153" s="155"/>
    </row>
    <row r="154" spans="1:12" ht="15.75" thickBot="1">
      <c r="A154" s="199"/>
      <c r="B154" s="205">
        <f>+B153+1</f>
        <v>77</v>
      </c>
      <c r="C154" s="206"/>
      <c r="D154" s="203" t="s">
        <v>332</v>
      </c>
      <c r="E154" s="204" t="s">
        <v>480</v>
      </c>
      <c r="F154" s="204"/>
      <c r="G154" s="248">
        <f>+'WS F Misc Exp'!D21</f>
        <v>-20265048.138266556</v>
      </c>
      <c r="H154" s="217"/>
      <c r="I154" s="155"/>
      <c r="J154" s="155"/>
    </row>
    <row r="155" spans="1:12" ht="15">
      <c r="A155" s="199"/>
      <c r="B155" s="205">
        <f>+B154+1</f>
        <v>78</v>
      </c>
      <c r="C155" s="206"/>
      <c r="D155" s="203" t="s">
        <v>384</v>
      </c>
      <c r="E155" s="204" t="str">
        <f>"(lns "&amp;B150&amp;" - "&amp;B152&amp;" - "&amp;B153&amp;" - "&amp;B154&amp;")"</f>
        <v>(lns 73 - 75 - 76 - 77)</v>
      </c>
      <c r="F155" s="203"/>
      <c r="G155" s="217">
        <f>G150-G152-G153-G154</f>
        <v>60141652.043973736</v>
      </c>
      <c r="H155" s="204"/>
      <c r="I155" s="218" t="s">
        <v>120</v>
      </c>
      <c r="J155" s="219">
        <f>L239</f>
        <v>0.98454786884388668</v>
      </c>
      <c r="K155" s="204"/>
      <c r="L155" s="217">
        <f>+J155*G155</f>
        <v>59212335.34864492</v>
      </c>
    </row>
    <row r="156" spans="1:12" ht="15">
      <c r="A156" s="199"/>
      <c r="B156" s="205"/>
      <c r="C156" s="206"/>
      <c r="D156" s="203"/>
      <c r="E156" s="204"/>
      <c r="F156" s="204"/>
      <c r="G156" s="155"/>
      <c r="H156" s="217"/>
      <c r="I156" s="155"/>
      <c r="J156" s="155"/>
    </row>
    <row r="157" spans="1:12" ht="15">
      <c r="A157" s="199"/>
      <c r="B157" s="205">
        <f>+B155+1</f>
        <v>79</v>
      </c>
      <c r="C157" s="206"/>
      <c r="D157" s="203" t="s">
        <v>104</v>
      </c>
      <c r="E157" s="204" t="s">
        <v>744</v>
      </c>
      <c r="F157" s="204"/>
      <c r="G157" s="537">
        <v>138252858.99094141</v>
      </c>
      <c r="H157" s="217"/>
      <c r="I157" s="256"/>
      <c r="J157" s="256"/>
      <c r="K157" s="204"/>
      <c r="L157" s="217"/>
    </row>
    <row r="158" spans="1:12" ht="15">
      <c r="A158" s="199"/>
      <c r="B158" s="205">
        <f t="shared" ref="B158:B172" si="7">+B157+1</f>
        <v>80</v>
      </c>
      <c r="C158" s="206"/>
      <c r="D158" s="203" t="s">
        <v>330</v>
      </c>
      <c r="E158" s="204" t="s">
        <v>418</v>
      </c>
      <c r="F158" s="204"/>
      <c r="G158" s="537">
        <v>6860716.3072567834</v>
      </c>
      <c r="H158" s="217"/>
      <c r="I158" s="256"/>
      <c r="J158" s="203"/>
      <c r="K158" s="204"/>
      <c r="L158" s="217"/>
    </row>
    <row r="159" spans="1:12" ht="15">
      <c r="A159" s="199"/>
      <c r="B159" s="205">
        <f t="shared" si="7"/>
        <v>81</v>
      </c>
      <c r="C159" s="206"/>
      <c r="D159" s="813" t="s">
        <v>849</v>
      </c>
      <c r="E159" s="204" t="str">
        <f>"PBOP Worksheet O Line "&amp;'WS O - PBOP'!A37&amp;" &amp; "&amp;'WS O - PBOP'!A39&amp;", (Note K)"</f>
        <v>PBOP Worksheet O Line 9 &amp; 10, (Note K)</v>
      </c>
      <c r="F159" s="204"/>
      <c r="G159" s="814">
        <f>'WS O - PBOP'!D37+'WS O - PBOP'!D39</f>
        <v>-10143194.609999992</v>
      </c>
      <c r="H159" s="217"/>
      <c r="I159" s="256"/>
      <c r="J159" s="203"/>
      <c r="K159" s="204"/>
      <c r="L159" s="217"/>
    </row>
    <row r="160" spans="1:12" ht="15">
      <c r="A160" s="199"/>
      <c r="B160" s="205">
        <f t="shared" si="7"/>
        <v>82</v>
      </c>
      <c r="C160" s="206"/>
      <c r="D160" s="203" t="s">
        <v>850</v>
      </c>
      <c r="E160" s="204" t="str">
        <f>"PBOP Worksheet O  Line "&amp;'WS O - PBOP'!A41&amp;", (Note K)"</f>
        <v>PBOP Worksheet O  Line 11, (Note K)</v>
      </c>
      <c r="F160" s="204"/>
      <c r="G160" s="814">
        <f>'WS O - PBOP'!D41</f>
        <v>0</v>
      </c>
      <c r="H160" s="217"/>
      <c r="I160" s="256"/>
      <c r="J160" s="203"/>
      <c r="K160" s="204"/>
      <c r="L160" s="217"/>
    </row>
    <row r="161" spans="1:12" ht="15">
      <c r="A161" s="199"/>
      <c r="B161" s="205">
        <f t="shared" si="7"/>
        <v>83</v>
      </c>
      <c r="C161" s="206"/>
      <c r="D161" s="203" t="s">
        <v>851</v>
      </c>
      <c r="E161" s="204" t="str">
        <f>"PBOP Worksheet O Line "&amp;'WS O - PBOP'!A45&amp;", (Note K)"</f>
        <v>PBOP Worksheet O Line 13, (Note K)</v>
      </c>
      <c r="F161" s="204"/>
      <c r="G161" s="814">
        <f>'WS O - PBOP'!D45</f>
        <v>-3280232.3575364132</v>
      </c>
      <c r="H161" s="217"/>
      <c r="I161" s="256"/>
      <c r="J161" s="203"/>
      <c r="K161" s="204"/>
      <c r="L161" s="217"/>
    </row>
    <row r="162" spans="1:12" ht="15">
      <c r="A162" s="199"/>
      <c r="B162" s="205">
        <f t="shared" si="7"/>
        <v>84</v>
      </c>
      <c r="C162" s="206"/>
      <c r="D162" s="203" t="s">
        <v>329</v>
      </c>
      <c r="E162" s="204" t="s">
        <v>96</v>
      </c>
      <c r="F162" s="204"/>
      <c r="G162" s="537">
        <f>'WS F Misc Exp'!D41</f>
        <v>11692233.738816602</v>
      </c>
      <c r="H162" s="217"/>
      <c r="I162" s="256"/>
      <c r="J162" s="267"/>
      <c r="K162" s="204"/>
      <c r="L162" s="217"/>
    </row>
    <row r="163" spans="1:12" ht="15">
      <c r="A163" s="199"/>
      <c r="B163" s="205">
        <f t="shared" si="7"/>
        <v>85</v>
      </c>
      <c r="C163" s="206"/>
      <c r="D163" s="203" t="s">
        <v>107</v>
      </c>
      <c r="E163" s="204" t="s">
        <v>97</v>
      </c>
      <c r="F163" s="204"/>
      <c r="G163" s="537">
        <f>'WS F Misc Exp'!D61</f>
        <v>461507.62439224264</v>
      </c>
      <c r="H163" s="217"/>
      <c r="I163" s="256"/>
      <c r="J163" s="256"/>
      <c r="K163" s="204"/>
      <c r="L163" s="217"/>
    </row>
    <row r="164" spans="1:12" ht="15.75" thickBot="1">
      <c r="A164" s="199"/>
      <c r="B164" s="205">
        <f t="shared" si="7"/>
        <v>86</v>
      </c>
      <c r="C164" s="206"/>
      <c r="D164" s="203" t="s">
        <v>331</v>
      </c>
      <c r="E164" s="204" t="s">
        <v>98</v>
      </c>
      <c r="F164" s="204"/>
      <c r="G164" s="1193">
        <f>'WS F Misc Exp'!D70</f>
        <v>10986895.559055926</v>
      </c>
      <c r="H164" s="217"/>
      <c r="I164" s="256"/>
      <c r="J164" s="256"/>
      <c r="K164" s="204"/>
      <c r="L164" s="217"/>
    </row>
    <row r="165" spans="1:12" ht="15">
      <c r="A165" s="199"/>
      <c r="B165" s="205">
        <f t="shared" si="7"/>
        <v>87</v>
      </c>
      <c r="C165" s="206"/>
      <c r="D165" s="203" t="s">
        <v>108</v>
      </c>
      <c r="E165" s="204" t="str">
        <f>"(ln "&amp;B157&amp;" - sum ln "&amp;B158&amp;"  to ln "&amp;B164&amp;")"</f>
        <v>(ln 79 - sum ln 80  to ln 86)</v>
      </c>
      <c r="F165" s="204"/>
      <c r="G165" s="217">
        <f>G157-SUM(G158:G164)</f>
        <v>121674932.72895625</v>
      </c>
      <c r="H165" s="217"/>
      <c r="I165" s="218" t="s">
        <v>132</v>
      </c>
      <c r="J165" s="219">
        <f>L257</f>
        <v>0.10678464326444631</v>
      </c>
      <c r="K165" s="204"/>
      <c r="L165" s="217">
        <f>+J165*G165</f>
        <v>12993014.285687096</v>
      </c>
    </row>
    <row r="166" spans="1:12" ht="15">
      <c r="A166" s="199"/>
      <c r="B166" s="205"/>
      <c r="C166" s="206"/>
      <c r="D166" s="203"/>
      <c r="E166" s="204"/>
      <c r="F166" s="204"/>
      <c r="G166" s="1194"/>
      <c r="H166" s="217"/>
      <c r="I166" s="218"/>
      <c r="J166" s="219"/>
      <c r="K166" s="204"/>
      <c r="L166" s="217"/>
    </row>
    <row r="167" spans="1:12" ht="15">
      <c r="A167" s="199"/>
      <c r="B167" s="205">
        <f>+B165+1</f>
        <v>88</v>
      </c>
      <c r="C167" s="206"/>
      <c r="D167" s="203" t="s">
        <v>197</v>
      </c>
      <c r="E167" s="204" t="str">
        <f>"(ln "&amp;B158&amp;")"</f>
        <v>(ln 80)</v>
      </c>
      <c r="F167" s="204"/>
      <c r="G167" s="217">
        <f>+G158</f>
        <v>6860716.3072567834</v>
      </c>
      <c r="H167" s="217"/>
      <c r="I167" s="218" t="s">
        <v>753</v>
      </c>
      <c r="J167" s="219">
        <f>J77</f>
        <v>0.30986873203487364</v>
      </c>
      <c r="K167" s="204"/>
      <c r="L167" s="217">
        <f>+J167*G167</f>
        <v>2125921.4629806401</v>
      </c>
    </row>
    <row r="168" spans="1:12" ht="15">
      <c r="A168" s="199"/>
      <c r="B168" s="205">
        <f t="shared" si="7"/>
        <v>89</v>
      </c>
      <c r="C168" s="206"/>
      <c r="D168" s="203" t="s">
        <v>230</v>
      </c>
      <c r="E168" s="204" t="str">
        <f>"Worksheet F ln "&amp;'WS F Misc Exp'!A41&amp;".(E) (Note L)"</f>
        <v>Worksheet F ln 20.(E) (Note L)</v>
      </c>
      <c r="F168" s="204"/>
      <c r="G168" s="217">
        <f>+'WS F Misc Exp'!F41</f>
        <v>1038983.4560733597</v>
      </c>
      <c r="H168" s="217"/>
      <c r="I168" s="218" t="s">
        <v>120</v>
      </c>
      <c r="J168" s="219">
        <f>L239</f>
        <v>0.98454786884388668</v>
      </c>
      <c r="K168" s="204"/>
      <c r="L168" s="217">
        <f>J168*G168</f>
        <v>1022928.9474410822</v>
      </c>
    </row>
    <row r="169" spans="1:12" ht="15">
      <c r="A169" s="199"/>
      <c r="B169" s="205">
        <f t="shared" si="7"/>
        <v>90</v>
      </c>
      <c r="C169" s="206"/>
      <c r="D169" s="203" t="s">
        <v>240</v>
      </c>
      <c r="E169" s="204" t="str">
        <f>"Worksheet F ln "&amp;'WS F Misc Exp'!A61&amp;".(E) (Note L)"</f>
        <v>Worksheet F ln 37.(E) (Note L)</v>
      </c>
      <c r="F169" s="204"/>
      <c r="G169" s="217">
        <f>+'WS F Misc Exp'!F61</f>
        <v>505.16932136149893</v>
      </c>
      <c r="H169" s="204"/>
      <c r="I169" s="218" t="s">
        <v>120</v>
      </c>
      <c r="J169" s="219">
        <f>L239</f>
        <v>0.98454786884388668</v>
      </c>
      <c r="K169" s="204"/>
      <c r="L169" s="217">
        <f>+J169*G169</f>
        <v>497.36337875177628</v>
      </c>
    </row>
    <row r="170" spans="1:12" ht="15">
      <c r="A170" s="199"/>
      <c r="B170" s="205">
        <f t="shared" si="7"/>
        <v>91</v>
      </c>
      <c r="C170" s="206"/>
      <c r="D170" s="203" t="s">
        <v>241</v>
      </c>
      <c r="E170" s="204" t="str">
        <f>"Worksheet F ln "&amp;'WS F Misc Exp'!A70&amp;".(E) (Note L)"</f>
        <v>Worksheet F ln 43.(E) (Note L)</v>
      </c>
      <c r="F170" s="204"/>
      <c r="G170" s="217">
        <f>+'WS F Misc Exp'!F70</f>
        <v>7078029.5280751968</v>
      </c>
      <c r="H170" s="268"/>
      <c r="I170" s="218" t="s">
        <v>129</v>
      </c>
      <c r="J170" s="219">
        <v>1</v>
      </c>
      <c r="K170" s="204"/>
      <c r="L170" s="217">
        <f>+J170*G170</f>
        <v>7078029.5280751968</v>
      </c>
    </row>
    <row r="171" spans="1:12" ht="15.75" thickBot="1">
      <c r="A171" s="199"/>
      <c r="B171" s="205">
        <f t="shared" si="7"/>
        <v>92</v>
      </c>
      <c r="C171" s="206"/>
      <c r="D171" s="203" t="s">
        <v>852</v>
      </c>
      <c r="E171" s="204" t="s">
        <v>854</v>
      </c>
      <c r="F171" s="204"/>
      <c r="G171" s="248">
        <f>'WS O - PBOP'!E22</f>
        <v>-71429478</v>
      </c>
      <c r="H171" s="268"/>
      <c r="I171" s="218" t="s">
        <v>132</v>
      </c>
      <c r="J171" s="219">
        <f>L257</f>
        <v>0.10678464326444631</v>
      </c>
      <c r="K171" s="204"/>
      <c r="L171" s="248">
        <f>+J171*G171</f>
        <v>-7627571.3267956162</v>
      </c>
    </row>
    <row r="172" spans="1:12" ht="15">
      <c r="A172" s="199"/>
      <c r="B172" s="205">
        <f t="shared" si="7"/>
        <v>93</v>
      </c>
      <c r="C172" s="206"/>
      <c r="D172" s="203" t="s">
        <v>109</v>
      </c>
      <c r="E172" s="204" t="str">
        <f>"(sum lns "&amp;B165&amp;"  to "&amp;B171&amp;")"</f>
        <v>(sum lns 87  to 92)</v>
      </c>
      <c r="F172" s="204"/>
      <c r="G172" s="217">
        <f>SUM(G165:G171)</f>
        <v>65223689.189682961</v>
      </c>
      <c r="H172" s="217"/>
      <c r="I172" s="218"/>
      <c r="J172" s="256"/>
      <c r="K172" s="204"/>
      <c r="L172" s="217">
        <f>SUM(L165:L171)</f>
        <v>15592820.260767151</v>
      </c>
    </row>
    <row r="173" spans="1:12" ht="15.75" thickBot="1">
      <c r="A173" s="199"/>
      <c r="B173" s="205"/>
      <c r="C173" s="206"/>
      <c r="D173" s="203"/>
      <c r="E173" s="204"/>
      <c r="F173" s="204"/>
      <c r="G173" s="248"/>
      <c r="H173" s="204"/>
      <c r="I173" s="218"/>
      <c r="J173" s="256"/>
      <c r="K173" s="204"/>
      <c r="L173" s="248"/>
    </row>
    <row r="174" spans="1:12" ht="15">
      <c r="A174" s="199"/>
      <c r="B174" s="205">
        <f>+B172+1</f>
        <v>94</v>
      </c>
      <c r="C174" s="206"/>
      <c r="D174" s="203" t="s">
        <v>414</v>
      </c>
      <c r="E174" s="204" t="str">
        <f>"(ln "&amp;B155&amp;" + ln "&amp;B172&amp;")"</f>
        <v>(ln 78 + ln 93)</v>
      </c>
      <c r="F174" s="204"/>
      <c r="G174" s="217">
        <f>+G155+G172</f>
        <v>125365341.2336567</v>
      </c>
      <c r="H174" s="217"/>
      <c r="I174" s="218"/>
      <c r="J174" s="204"/>
      <c r="K174" s="204"/>
      <c r="L174" s="217">
        <f>L155+L172</f>
        <v>74805155.609412074</v>
      </c>
    </row>
    <row r="175" spans="1:12" ht="15.75" thickBot="1">
      <c r="A175" s="199"/>
      <c r="B175" s="205">
        <f>+B174+1</f>
        <v>95</v>
      </c>
      <c r="C175" s="206"/>
      <c r="D175" s="203" t="s">
        <v>486</v>
      </c>
      <c r="E175" s="203"/>
      <c r="F175" s="204"/>
      <c r="G175" s="1193">
        <v>0</v>
      </c>
      <c r="H175" s="217"/>
      <c r="I175" s="218" t="s">
        <v>129</v>
      </c>
      <c r="J175" s="219">
        <v>1</v>
      </c>
      <c r="K175" s="204"/>
      <c r="L175" s="248">
        <f>J175*G175</f>
        <v>0</v>
      </c>
    </row>
    <row r="176" spans="1:12" ht="15">
      <c r="A176" s="199"/>
      <c r="B176" s="205">
        <f>+B175+1</f>
        <v>96</v>
      </c>
      <c r="C176" s="206"/>
      <c r="D176" s="203" t="s">
        <v>110</v>
      </c>
      <c r="E176" s="204" t="str">
        <f>"(ln "&amp;B174&amp;" + ln "&amp;B175&amp;")"</f>
        <v>(ln 94 + ln 95)</v>
      </c>
      <c r="F176" s="204"/>
      <c r="G176" s="217">
        <f>+G174+G175</f>
        <v>125365341.2336567</v>
      </c>
      <c r="H176" s="217"/>
      <c r="I176" s="218"/>
      <c r="J176" s="204"/>
      <c r="K176" s="204"/>
      <c r="L176" s="217">
        <f>+L174+L175</f>
        <v>74805155.609412074</v>
      </c>
    </row>
    <row r="177" spans="1:14" ht="15">
      <c r="A177" s="199"/>
      <c r="B177" s="205"/>
      <c r="C177" s="206"/>
      <c r="D177" s="203"/>
      <c r="E177" s="204"/>
      <c r="F177" s="204"/>
      <c r="G177" s="217"/>
      <c r="H177" s="204"/>
      <c r="I177" s="204"/>
      <c r="J177" s="204"/>
      <c r="K177" s="204"/>
      <c r="L177" s="217"/>
    </row>
    <row r="178" spans="1:14" ht="15">
      <c r="A178" s="199"/>
      <c r="B178" s="205">
        <f>+B176+1</f>
        <v>97</v>
      </c>
      <c r="C178" s="206"/>
      <c r="D178" s="203" t="s">
        <v>113</v>
      </c>
      <c r="E178" s="218"/>
      <c r="F178" s="218"/>
      <c r="G178" s="217"/>
      <c r="H178" s="204"/>
      <c r="I178" s="218"/>
      <c r="J178" s="204"/>
      <c r="K178" s="204"/>
      <c r="L178" s="217"/>
    </row>
    <row r="179" spans="1:14" ht="15">
      <c r="A179" s="199"/>
      <c r="B179" s="205">
        <f t="shared" ref="B179:B183" si="8">+B178+1</f>
        <v>98</v>
      </c>
      <c r="C179" s="206"/>
      <c r="D179" s="203" t="s">
        <v>126</v>
      </c>
      <c r="E179" s="215" t="s">
        <v>424</v>
      </c>
      <c r="F179" s="218"/>
      <c r="G179" s="537">
        <v>155947961.40611333</v>
      </c>
      <c r="H179" s="204"/>
      <c r="I179" s="218" t="s">
        <v>127</v>
      </c>
      <c r="J179" s="219">
        <v>0</v>
      </c>
      <c r="K179" s="204"/>
      <c r="L179" s="217">
        <f>+G179*J179</f>
        <v>0</v>
      </c>
      <c r="N179" s="4"/>
    </row>
    <row r="180" spans="1:14" ht="15">
      <c r="A180" s="199"/>
      <c r="B180" s="205">
        <f t="shared" si="8"/>
        <v>99</v>
      </c>
      <c r="C180" s="206"/>
      <c r="D180" s="203" t="s">
        <v>130</v>
      </c>
      <c r="E180" s="215" t="s">
        <v>423</v>
      </c>
      <c r="F180" s="218"/>
      <c r="G180" s="537">
        <v>210107975.83413127</v>
      </c>
      <c r="H180" s="204"/>
      <c r="I180" s="218" t="s">
        <v>127</v>
      </c>
      <c r="J180" s="219">
        <v>0</v>
      </c>
      <c r="K180" s="204"/>
      <c r="L180" s="217">
        <f>+G180*J180</f>
        <v>0</v>
      </c>
    </row>
    <row r="181" spans="1:14" ht="15">
      <c r="A181" s="199"/>
      <c r="B181" s="205">
        <f t="shared" si="8"/>
        <v>100</v>
      </c>
      <c r="C181" s="206"/>
      <c r="D181" s="243" t="str">
        <f>+D150</f>
        <v xml:space="preserve">  Transmission </v>
      </c>
      <c r="E181" s="215" t="s">
        <v>419</v>
      </c>
      <c r="F181" s="244"/>
      <c r="G181" s="537">
        <v>139842788.24519509</v>
      </c>
      <c r="H181" s="1168"/>
      <c r="I181" s="245" t="s">
        <v>26</v>
      </c>
      <c r="J181" s="219">
        <f>J82</f>
        <v>0.97156632314770508</v>
      </c>
      <c r="K181" s="246"/>
      <c r="L181" s="247">
        <f>J181*G181</f>
        <v>135866543.5941073</v>
      </c>
    </row>
    <row r="182" spans="1:14" ht="15">
      <c r="A182" s="199"/>
      <c r="B182" s="205">
        <f>+B181+1</f>
        <v>101</v>
      </c>
      <c r="C182" s="206"/>
      <c r="D182" s="203" t="s">
        <v>136</v>
      </c>
      <c r="E182" s="244" t="s">
        <v>420</v>
      </c>
      <c r="F182" s="204"/>
      <c r="G182" s="537">
        <v>62906421.744510978</v>
      </c>
      <c r="H182" s="217"/>
      <c r="I182" s="218" t="s">
        <v>132</v>
      </c>
      <c r="J182" s="219">
        <f>L257</f>
        <v>0.10678464326444631</v>
      </c>
      <c r="K182" s="204"/>
      <c r="L182" s="217">
        <f>+J182*G182</f>
        <v>6717439.805030413</v>
      </c>
    </row>
    <row r="183" spans="1:14" ht="15">
      <c r="A183" s="199"/>
      <c r="B183" s="205">
        <f t="shared" si="8"/>
        <v>102</v>
      </c>
      <c r="C183" s="206"/>
      <c r="D183" s="203" t="s">
        <v>137</v>
      </c>
      <c r="E183" s="244" t="s">
        <v>421</v>
      </c>
      <c r="F183" s="204"/>
      <c r="G183" s="537">
        <v>284083.37426966312</v>
      </c>
      <c r="H183" s="217"/>
      <c r="I183" s="218" t="s">
        <v>132</v>
      </c>
      <c r="J183" s="219">
        <f>L257</f>
        <v>0.10678464326444631</v>
      </c>
      <c r="K183" s="204"/>
      <c r="L183" s="217">
        <f>+J183*G183</f>
        <v>30335.741778746164</v>
      </c>
    </row>
    <row r="184" spans="1:14" ht="15.75" thickBot="1">
      <c r="A184" s="199"/>
      <c r="B184" s="205"/>
      <c r="C184" s="206"/>
      <c r="D184" s="203"/>
      <c r="E184" s="215"/>
      <c r="F184" s="218"/>
      <c r="G184" s="538"/>
      <c r="H184" s="204"/>
      <c r="I184" s="218"/>
      <c r="J184" s="219"/>
      <c r="K184" s="204"/>
      <c r="L184" s="248"/>
    </row>
    <row r="185" spans="1:14" ht="15" customHeight="1">
      <c r="A185" s="199"/>
      <c r="B185" s="205">
        <f>+B183+1</f>
        <v>103</v>
      </c>
      <c r="C185" s="206"/>
      <c r="D185" s="203" t="s">
        <v>301</v>
      </c>
      <c r="E185" s="1227" t="str">
        <f>"(Ln "&amp;B179&amp;"+"&amp;B180&amp;"+
"&amp;B181&amp;"+"&amp;B182&amp;"+"&amp;B183&amp;"+"&amp;B184&amp;")"</f>
        <v>(Ln 98+99+
100+101+102+)</v>
      </c>
      <c r="F185" s="204"/>
      <c r="G185" s="217">
        <f>+G179+G180+G181+G182+G183+G184</f>
        <v>569089230.60422027</v>
      </c>
      <c r="H185" s="204"/>
      <c r="I185" s="218"/>
      <c r="J185" s="204"/>
      <c r="K185" s="204"/>
      <c r="L185" s="217">
        <f>+L179+L180+L181+L182+L183+L184</f>
        <v>142614319.14091644</v>
      </c>
    </row>
    <row r="186" spans="1:14" ht="15">
      <c r="A186" s="199"/>
      <c r="B186" s="205"/>
      <c r="C186" s="206"/>
      <c r="D186" s="203"/>
      <c r="E186" s="1228"/>
      <c r="F186" s="204"/>
      <c r="G186" s="217"/>
      <c r="H186" s="204"/>
      <c r="I186" s="218"/>
      <c r="J186" s="204"/>
      <c r="K186" s="204"/>
      <c r="L186" s="217"/>
    </row>
    <row r="187" spans="1:14" ht="15">
      <c r="A187" s="199"/>
      <c r="B187" s="205">
        <f>+B185+1</f>
        <v>104</v>
      </c>
      <c r="C187" s="206"/>
      <c r="D187" s="203" t="s">
        <v>32</v>
      </c>
      <c r="E187" s="199" t="s">
        <v>422</v>
      </c>
      <c r="F187" s="199"/>
      <c r="G187" s="217"/>
      <c r="H187" s="204"/>
      <c r="I187" s="218"/>
      <c r="J187" s="204"/>
      <c r="K187" s="204"/>
      <c r="L187" s="217"/>
    </row>
    <row r="188" spans="1:14" ht="15">
      <c r="A188" s="199"/>
      <c r="B188" s="205">
        <f t="shared" ref="B188:B193" si="9">+B187+1</f>
        <v>105</v>
      </c>
      <c r="C188" s="206"/>
      <c r="D188" s="203" t="s">
        <v>138</v>
      </c>
      <c r="E188" s="199"/>
      <c r="F188" s="199"/>
      <c r="G188" s="217"/>
      <c r="H188" s="204"/>
      <c r="I188" s="218"/>
      <c r="J188" s="199"/>
      <c r="K188" s="204"/>
      <c r="L188" s="217"/>
    </row>
    <row r="189" spans="1:14" ht="15">
      <c r="A189" s="199"/>
      <c r="B189" s="205">
        <f t="shared" si="9"/>
        <v>106</v>
      </c>
      <c r="C189" s="206"/>
      <c r="D189" s="203" t="s">
        <v>139</v>
      </c>
      <c r="E189" s="204" t="str">
        <f>"Worksheet H ln "&amp;'WS H Other Taxes'!A43&amp;"."&amp;'WS H Other Taxes'!I10&amp;""</f>
        <v>Worksheet H ln 24.(D)</v>
      </c>
      <c r="F189" s="204"/>
      <c r="G189" s="217">
        <f>+'WS H Other Taxes'!I43</f>
        <v>8563356.0146197379</v>
      </c>
      <c r="H189" s="217"/>
      <c r="I189" s="218" t="s">
        <v>132</v>
      </c>
      <c r="J189" s="219">
        <f>L257</f>
        <v>0.10678464326444631</v>
      </c>
      <c r="K189" s="204"/>
      <c r="L189" s="217">
        <f>+J189*G189</f>
        <v>914434.91716761934</v>
      </c>
    </row>
    <row r="190" spans="1:14" ht="15">
      <c r="A190" s="199"/>
      <c r="B190" s="205">
        <f t="shared" si="9"/>
        <v>107</v>
      </c>
      <c r="C190" s="206"/>
      <c r="D190" s="203" t="s">
        <v>140</v>
      </c>
      <c r="E190" s="204" t="s">
        <v>114</v>
      </c>
      <c r="F190" s="204"/>
      <c r="G190" s="217"/>
      <c r="H190" s="217"/>
      <c r="I190" s="218"/>
      <c r="J190" s="199"/>
      <c r="K190" s="204"/>
      <c r="L190" s="217"/>
    </row>
    <row r="191" spans="1:14" ht="15">
      <c r="A191" s="199"/>
      <c r="B191" s="205">
        <f t="shared" si="9"/>
        <v>108</v>
      </c>
      <c r="C191" s="206"/>
      <c r="D191" s="203" t="s">
        <v>141</v>
      </c>
      <c r="E191" s="204" t="str">
        <f>"Worksheet H ln "&amp;'WS H Other Taxes'!A43&amp;"."&amp;'WS H Other Taxes'!G10&amp;""</f>
        <v>Worksheet H ln 24.(C)</v>
      </c>
      <c r="F191" s="204"/>
      <c r="G191" s="217">
        <f>+'WS H Other Taxes'!G43</f>
        <v>107235086.00000003</v>
      </c>
      <c r="H191" s="217"/>
      <c r="I191" s="218" t="s">
        <v>129</v>
      </c>
      <c r="J191" s="219"/>
      <c r="K191" s="204"/>
      <c r="L191" s="262">
        <f>'WS H-1-Detail of Tax Amts'!I25</f>
        <v>48078963.757741205</v>
      </c>
    </row>
    <row r="192" spans="1:14" ht="15">
      <c r="A192" s="199"/>
      <c r="B192" s="205">
        <f t="shared" si="9"/>
        <v>109</v>
      </c>
      <c r="C192" s="206"/>
      <c r="D192" s="203" t="s">
        <v>200</v>
      </c>
      <c r="E192" s="204" t="str">
        <f>"Worksheet H ln "&amp;'WS H Other Taxes'!A43&amp;"."&amp;'WS H Other Taxes'!M10&amp;""</f>
        <v>Worksheet H ln 24.(F)</v>
      </c>
      <c r="F192" s="204"/>
      <c r="G192" s="217">
        <f>+'WS H Other Taxes'!M43</f>
        <v>53846200</v>
      </c>
      <c r="H192" s="155"/>
      <c r="I192" s="218" t="s">
        <v>127</v>
      </c>
      <c r="J192" s="219">
        <v>0</v>
      </c>
      <c r="K192" s="204"/>
      <c r="L192" s="217">
        <f>+J192*G192</f>
        <v>0</v>
      </c>
    </row>
    <row r="193" spans="1:12" ht="15.75" thickBot="1">
      <c r="A193" s="199"/>
      <c r="B193" s="205">
        <f t="shared" si="9"/>
        <v>110</v>
      </c>
      <c r="C193" s="206"/>
      <c r="D193" s="203" t="s">
        <v>142</v>
      </c>
      <c r="E193" s="204" t="str">
        <f>"Worksheet H ln "&amp;'WS H Other Taxes'!A43&amp;"."&amp;'WS H Other Taxes'!K10&amp;""</f>
        <v>Worksheet H ln 24.(E)</v>
      </c>
      <c r="F193" s="204"/>
      <c r="G193" s="248">
        <f>+'WS H Other Taxes'!K43</f>
        <v>20806693.507499956</v>
      </c>
      <c r="H193" s="155"/>
      <c r="I193" s="218" t="s">
        <v>753</v>
      </c>
      <c r="J193" s="219">
        <f>J77</f>
        <v>0.30986873203487364</v>
      </c>
      <c r="K193" s="204"/>
      <c r="L193" s="248">
        <f>+J193*G193</f>
        <v>6447343.7350072488</v>
      </c>
    </row>
    <row r="194" spans="1:12" ht="15">
      <c r="A194" s="199"/>
      <c r="B194" s="205">
        <f>+B193+1</f>
        <v>111</v>
      </c>
      <c r="C194" s="206"/>
      <c r="D194" s="203" t="s">
        <v>33</v>
      </c>
      <c r="E194" s="215" t="str">
        <f>"(sum lns "&amp;B189&amp;" to "&amp;B193&amp;")"</f>
        <v>(sum lns 106 to 110)</v>
      </c>
      <c r="F194" s="204"/>
      <c r="G194" s="217">
        <f>SUM(G189:G193)</f>
        <v>190451335.52211973</v>
      </c>
      <c r="H194" s="204"/>
      <c r="I194" s="218"/>
      <c r="J194" s="269"/>
      <c r="K194" s="204"/>
      <c r="L194" s="217">
        <f>SUM(L189:L193)</f>
        <v>55440742.409916073</v>
      </c>
    </row>
    <row r="195" spans="1:12" ht="15">
      <c r="A195" s="199"/>
      <c r="B195" s="205"/>
      <c r="C195" s="206"/>
      <c r="D195" s="203"/>
      <c r="E195" s="204"/>
      <c r="F195" s="204"/>
      <c r="G195" s="204"/>
      <c r="H195" s="204"/>
      <c r="I195" s="218"/>
      <c r="J195" s="269"/>
      <c r="K195" s="204"/>
      <c r="L195" s="204"/>
    </row>
    <row r="196" spans="1:12" ht="15">
      <c r="A196" s="199"/>
      <c r="B196" s="205">
        <f>+B194+1</f>
        <v>112</v>
      </c>
      <c r="C196" s="206"/>
      <c r="D196" s="203" t="s">
        <v>337</v>
      </c>
      <c r="E196" s="204" t="s">
        <v>425</v>
      </c>
      <c r="F196" s="270"/>
      <c r="G196" s="204"/>
      <c r="H196" s="155"/>
      <c r="I196" s="263"/>
      <c r="J196" s="199"/>
      <c r="K196" s="204"/>
      <c r="L196" s="271"/>
    </row>
    <row r="197" spans="1:12" ht="15">
      <c r="A197" s="199"/>
      <c r="B197" s="205">
        <f t="shared" ref="B197:B204" si="10">+B196+1</f>
        <v>113</v>
      </c>
      <c r="C197" s="206"/>
      <c r="D197" s="272" t="s">
        <v>338</v>
      </c>
      <c r="E197" s="204"/>
      <c r="F197" s="273"/>
      <c r="G197" s="274">
        <f>IF(F355&gt;0,1-(((1-F356)*(1-F355))/(1-F356*F355*F357)),0)</f>
        <v>0.23257187999999995</v>
      </c>
      <c r="H197" s="275"/>
      <c r="I197" s="275"/>
      <c r="J197" s="199"/>
      <c r="K197" s="276"/>
      <c r="L197" s="271"/>
    </row>
    <row r="198" spans="1:12" ht="15">
      <c r="A198" s="199"/>
      <c r="B198" s="205">
        <f t="shared" si="10"/>
        <v>114</v>
      </c>
      <c r="C198" s="206"/>
      <c r="D198" s="199" t="s">
        <v>339</v>
      </c>
      <c r="E198" s="204"/>
      <c r="F198" s="273"/>
      <c r="G198" s="274">
        <f>IF(L271&gt;0,($G197/(1-$G197))*(1-$L271/$L274),0)</f>
        <v>0.20893350266638444</v>
      </c>
      <c r="H198" s="275"/>
      <c r="I198" s="275"/>
      <c r="J198" s="199"/>
      <c r="K198" s="276"/>
      <c r="L198" s="271"/>
    </row>
    <row r="199" spans="1:12" ht="15">
      <c r="A199" s="199"/>
      <c r="B199" s="205">
        <f t="shared" si="10"/>
        <v>115</v>
      </c>
      <c r="C199" s="206"/>
      <c r="D199" s="203" t="str">
        <f>"       where WCLTD=(ln "&amp;B271&amp;") and WACC = (ln "&amp;B274&amp;")"</f>
        <v xml:space="preserve">       where WCLTD=(ln 154) and WACC = (ln 157)</v>
      </c>
      <c r="E199" s="204"/>
      <c r="F199" s="270"/>
      <c r="G199" s="204"/>
      <c r="H199" s="275"/>
      <c r="I199" s="275"/>
      <c r="J199" s="277"/>
      <c r="K199" s="276"/>
      <c r="L199" s="278"/>
    </row>
    <row r="200" spans="1:12" ht="15">
      <c r="A200" s="199"/>
      <c r="B200" s="205">
        <f t="shared" si="10"/>
        <v>116</v>
      </c>
      <c r="C200" s="206"/>
      <c r="D200" s="203" t="s">
        <v>428</v>
      </c>
      <c r="E200" s="279"/>
      <c r="F200" s="273"/>
      <c r="G200" s="204"/>
      <c r="H200" s="155"/>
      <c r="I200" s="263"/>
      <c r="J200" s="277"/>
      <c r="K200" s="276"/>
      <c r="L200" s="271"/>
    </row>
    <row r="201" spans="1:12" ht="15">
      <c r="A201" s="199"/>
      <c r="B201" s="205">
        <f t="shared" si="10"/>
        <v>117</v>
      </c>
      <c r="C201" s="206"/>
      <c r="D201" s="272" t="str">
        <f>"      GRCF=1 / (1 - T)  = (from ln "&amp;B197&amp;")"</f>
        <v xml:space="preserve">      GRCF=1 / (1 - T)  = (from ln 113)</v>
      </c>
      <c r="E201" s="270"/>
      <c r="F201" s="270"/>
      <c r="G201" s="280">
        <f>IF(G197&gt;0,1/(1-G197),0)</f>
        <v>1.3030536332184439</v>
      </c>
      <c r="H201" s="155"/>
      <c r="I201" s="230"/>
      <c r="J201" s="281"/>
      <c r="K201" s="282"/>
      <c r="L201" s="283"/>
    </row>
    <row r="202" spans="1:12" ht="15">
      <c r="A202" s="199"/>
      <c r="B202" s="205">
        <f t="shared" si="10"/>
        <v>118</v>
      </c>
      <c r="C202" s="206"/>
      <c r="D202" s="203" t="s">
        <v>340</v>
      </c>
      <c r="E202" s="256" t="s">
        <v>504</v>
      </c>
      <c r="F202" s="270"/>
      <c r="G202" s="537">
        <v>0</v>
      </c>
      <c r="H202" s="155"/>
      <c r="I202" s="230"/>
      <c r="J202" s="284"/>
      <c r="K202" s="282"/>
      <c r="L202" s="271"/>
    </row>
    <row r="203" spans="1:12" ht="15">
      <c r="A203" s="199"/>
      <c r="B203" s="205">
        <f t="shared" si="10"/>
        <v>119</v>
      </c>
      <c r="C203" s="206"/>
      <c r="D203" s="199" t="s">
        <v>532</v>
      </c>
      <c r="E203" s="204" t="s">
        <v>545</v>
      </c>
      <c r="F203" s="285"/>
      <c r="G203" s="537">
        <v>-16635795.01151209</v>
      </c>
      <c r="H203" s="155"/>
      <c r="I203" s="218" t="s">
        <v>129</v>
      </c>
      <c r="J203" s="284"/>
      <c r="K203" s="282"/>
      <c r="L203" s="537">
        <v>-4873194.505563572</v>
      </c>
    </row>
    <row r="204" spans="1:12" ht="15">
      <c r="A204" s="199"/>
      <c r="B204" s="205">
        <f t="shared" si="10"/>
        <v>120</v>
      </c>
      <c r="C204" s="206"/>
      <c r="D204" s="199" t="s">
        <v>743</v>
      </c>
      <c r="E204" s="204" t="s">
        <v>545</v>
      </c>
      <c r="F204" s="285"/>
      <c r="G204" s="537">
        <v>7372814.3144904561</v>
      </c>
      <c r="H204" s="155"/>
      <c r="I204" s="218" t="s">
        <v>129</v>
      </c>
      <c r="J204" s="284"/>
      <c r="K204" s="282"/>
      <c r="L204" s="537">
        <v>2631151.6104552918</v>
      </c>
    </row>
    <row r="205" spans="1:12" ht="15">
      <c r="A205" s="199"/>
      <c r="B205" s="205"/>
      <c r="C205" s="206"/>
      <c r="D205" s="203"/>
      <c r="E205" s="204"/>
      <c r="F205" s="273"/>
      <c r="G205" s="217"/>
      <c r="H205" s="155"/>
      <c r="I205" s="230"/>
      <c r="J205" s="286"/>
      <c r="K205" s="282"/>
      <c r="L205" s="271"/>
    </row>
    <row r="206" spans="1:12" ht="15">
      <c r="A206" s="199"/>
      <c r="B206" s="205">
        <f>+B204+1</f>
        <v>121</v>
      </c>
      <c r="C206" s="206"/>
      <c r="D206" s="272" t="s">
        <v>341</v>
      </c>
      <c r="E206" s="285" t="str">
        <f>"(ln "&amp;B198&amp;" * ln "&amp;B213&amp;")"</f>
        <v>(ln 114 * ln 126)</v>
      </c>
      <c r="F206" s="287"/>
      <c r="G206" s="217">
        <f>+G198*G213</f>
        <v>147948114.93168727</v>
      </c>
      <c r="H206" s="155"/>
      <c r="I206" s="230"/>
      <c r="J206" s="286"/>
      <c r="K206" s="217"/>
      <c r="L206" s="217">
        <f>+L213*G198</f>
        <v>58634890.190123692</v>
      </c>
    </row>
    <row r="207" spans="1:12" ht="15">
      <c r="A207" s="199"/>
      <c r="B207" s="205">
        <f>+B206+1</f>
        <v>122</v>
      </c>
      <c r="C207" s="206"/>
      <c r="D207" s="199" t="s">
        <v>342</v>
      </c>
      <c r="E207" s="285" t="str">
        <f>"(ln "&amp;B201&amp;" * ln "&amp;B202&amp;")"</f>
        <v>(ln 117 * ln 118)</v>
      </c>
      <c r="F207" s="285"/>
      <c r="G207" s="217">
        <f>G201*G202</f>
        <v>0</v>
      </c>
      <c r="H207" s="155"/>
      <c r="I207" s="218" t="s">
        <v>753</v>
      </c>
      <c r="J207" s="219">
        <f>J77</f>
        <v>0.30986873203487364</v>
      </c>
      <c r="K207" s="217"/>
      <c r="L207" s="217">
        <f>+G207*J207</f>
        <v>0</v>
      </c>
    </row>
    <row r="208" spans="1:12" ht="15">
      <c r="A208" s="199"/>
      <c r="B208" s="205">
        <f>B207+1</f>
        <v>123</v>
      </c>
      <c r="C208" s="206"/>
      <c r="D208" s="199" t="s">
        <v>532</v>
      </c>
      <c r="E208" s="285" t="str">
        <f>"(ln "&amp;B201&amp;" * ln "&amp;B203&amp;")"</f>
        <v>(ln 117 * ln 119)</v>
      </c>
      <c r="F208" s="285"/>
      <c r="G208" s="217">
        <f>G203*G201</f>
        <v>-21677333.131228093</v>
      </c>
      <c r="H208" s="155"/>
      <c r="I208" s="232"/>
      <c r="J208" s="219"/>
      <c r="K208" s="217"/>
      <c r="L208" s="217">
        <f>L203*G201</f>
        <v>-6350033.8058547713</v>
      </c>
    </row>
    <row r="209" spans="1:12" ht="15">
      <c r="A209" s="199"/>
      <c r="B209" s="205">
        <f>B208+1</f>
        <v>124</v>
      </c>
      <c r="C209" s="206"/>
      <c r="D209" s="199" t="s">
        <v>743</v>
      </c>
      <c r="E209" s="285" t="str">
        <f>"(ln "&amp;B201&amp;" * ln "&amp;B204&amp;")"</f>
        <v>(ln 117 * ln 120)</v>
      </c>
      <c r="F209" s="285"/>
      <c r="G209" s="288">
        <f>G204*G201</f>
        <v>9607172.4795417394</v>
      </c>
      <c r="H209" s="155"/>
      <c r="I209" s="232"/>
      <c r="J209" s="219"/>
      <c r="K209" s="217"/>
      <c r="L209" s="288">
        <f>L204*G201</f>
        <v>3428531.6655523279</v>
      </c>
    </row>
    <row r="210" spans="1:12" ht="15">
      <c r="A210" s="199"/>
      <c r="B210" s="205"/>
      <c r="C210" s="206"/>
      <c r="D210" s="199"/>
      <c r="E210" s="285"/>
      <c r="F210" s="285"/>
      <c r="G210" s="217"/>
      <c r="H210" s="155"/>
      <c r="I210" s="232"/>
      <c r="J210" s="219"/>
      <c r="K210" s="217"/>
      <c r="L210" s="217"/>
    </row>
    <row r="211" spans="1:12" ht="15">
      <c r="A211" s="199"/>
      <c r="B211" s="205">
        <f>+B209+1</f>
        <v>125</v>
      </c>
      <c r="C211" s="206"/>
      <c r="D211" s="272" t="s">
        <v>35</v>
      </c>
      <c r="E211" s="204" t="str">
        <f>"(sum lns "&amp;B206&amp;" to "&amp;B209&amp;")"</f>
        <v>(sum lns 121 to 124)</v>
      </c>
      <c r="F211" s="285"/>
      <c r="G211" s="232">
        <f>SUM(G206:G209)</f>
        <v>135877954.28000093</v>
      </c>
      <c r="H211" s="155"/>
      <c r="I211" s="230" t="s">
        <v>114</v>
      </c>
      <c r="J211" s="289"/>
      <c r="K211" s="217"/>
      <c r="L211" s="232">
        <f>SUM(L206:L209)</f>
        <v>55713388.04982125</v>
      </c>
    </row>
    <row r="212" spans="1:12" ht="15">
      <c r="A212" s="199"/>
      <c r="B212" s="205"/>
      <c r="C212" s="206"/>
      <c r="D212" s="203"/>
      <c r="E212" s="204"/>
      <c r="F212" s="204"/>
      <c r="G212" s="204"/>
      <c r="H212" s="204"/>
      <c r="I212" s="218"/>
      <c r="J212" s="269"/>
      <c r="K212" s="204"/>
      <c r="L212" s="204"/>
    </row>
    <row r="213" spans="1:12" ht="15">
      <c r="A213" s="199"/>
      <c r="B213" s="205">
        <f>+B211+1</f>
        <v>126</v>
      </c>
      <c r="C213" s="206"/>
      <c r="D213" s="272" t="s">
        <v>199</v>
      </c>
      <c r="E213" s="272" t="str">
        <f>"(ln "&amp;B131&amp;" * ln "&amp;B274&amp;")"</f>
        <v>(ln 68 * ln 157)</v>
      </c>
      <c r="F213" s="254"/>
      <c r="G213" s="217">
        <f>+$L274*G131</f>
        <v>708111016.3932116</v>
      </c>
      <c r="H213" s="204"/>
      <c r="I213" s="230"/>
      <c r="J213" s="217"/>
      <c r="K213" s="217"/>
      <c r="L213" s="217">
        <f>+L274*L131</f>
        <v>280639004.47669816</v>
      </c>
    </row>
    <row r="214" spans="1:12" ht="15">
      <c r="A214" s="199"/>
      <c r="B214" s="205"/>
      <c r="C214" s="206"/>
      <c r="D214" s="272"/>
      <c r="E214" s="199"/>
      <c r="F214" s="199"/>
      <c r="G214" s="217"/>
      <c r="H214" s="217"/>
      <c r="I214" s="230"/>
      <c r="J214" s="230"/>
      <c r="K214" s="217"/>
      <c r="L214" s="217"/>
    </row>
    <row r="215" spans="1:12" ht="15">
      <c r="A215" s="199"/>
      <c r="B215" s="205">
        <f>+B213+1</f>
        <v>127</v>
      </c>
      <c r="C215" s="206"/>
      <c r="D215" s="290" t="s">
        <v>99</v>
      </c>
      <c r="E215" s="199"/>
      <c r="F215" s="244"/>
      <c r="G215" s="217">
        <f>-'WS D IPP Credits'!C13</f>
        <v>0</v>
      </c>
      <c r="H215" s="217"/>
      <c r="I215" s="260" t="s">
        <v>129</v>
      </c>
      <c r="J215" s="219">
        <v>1</v>
      </c>
      <c r="K215" s="247"/>
      <c r="L215" s="217">
        <f>+J215*G215</f>
        <v>0</v>
      </c>
    </row>
    <row r="216" spans="1:12" ht="15">
      <c r="A216" s="199"/>
      <c r="B216" s="205"/>
      <c r="C216" s="206"/>
      <c r="D216" s="290"/>
      <c r="E216" s="199"/>
      <c r="F216" s="244"/>
      <c r="G216" s="217"/>
      <c r="H216" s="217"/>
      <c r="I216" s="260"/>
      <c r="J216" s="219"/>
      <c r="K216" s="247"/>
      <c r="L216" s="217"/>
    </row>
    <row r="217" spans="1:12" ht="15">
      <c r="A217" s="199"/>
      <c r="B217" s="205">
        <f>+B215+1</f>
        <v>128</v>
      </c>
      <c r="C217" s="206"/>
      <c r="D217" s="290" t="str">
        <f>"(Gains) / Losses on Sales of Plant Held for Future Use (Worksheet N, ln "&amp;'WS N - Sale of Plant Held'!A33&amp;", Cols. ("&amp;'WS N - Sale of Plant Held'!O12&amp;" &amp; "&amp;'WS N - Sale of Plant Held'!S12&amp;")"</f>
        <v>(Gains) / Losses on Sales of Plant Held for Future Use (Worksheet N, ln 4, Cols. ((F) &amp; (H))</v>
      </c>
      <c r="E217" s="199"/>
      <c r="F217" s="244"/>
      <c r="G217" s="217">
        <f>+'WS N - Sale of Plant Held'!O33</f>
        <v>0</v>
      </c>
      <c r="H217" s="217"/>
      <c r="I217" s="260"/>
      <c r="J217" s="219"/>
      <c r="K217" s="247"/>
      <c r="L217" s="217">
        <f>'WS N - Sale of Plant Held'!S33</f>
        <v>0</v>
      </c>
    </row>
    <row r="218" spans="1:12" ht="15">
      <c r="A218" s="199"/>
      <c r="B218" s="205"/>
      <c r="C218" s="206"/>
      <c r="D218" s="290"/>
      <c r="E218" s="199"/>
      <c r="F218" s="244"/>
      <c r="G218" s="217"/>
      <c r="H218" s="217"/>
      <c r="I218" s="260"/>
      <c r="J218" s="219"/>
      <c r="K218" s="247"/>
      <c r="L218" s="217"/>
    </row>
    <row r="219" spans="1:12" ht="15">
      <c r="A219" s="199"/>
      <c r="B219" s="205">
        <f>+B217+1</f>
        <v>129</v>
      </c>
      <c r="C219" s="206"/>
      <c r="D219" s="290" t="str">
        <f>" Tax Impact on Net Loss / (Gain) on Sales of Plant Held for Future Use (ln "&amp;B217&amp;" * ln"&amp;B198&amp;")"</f>
        <v xml:space="preserve"> Tax Impact on Net Loss / (Gain) on Sales of Plant Held for Future Use (ln 128 * ln114)</v>
      </c>
      <c r="E219" s="199"/>
      <c r="F219" s="244"/>
      <c r="G219" s="217">
        <f>-+G198*G217</f>
        <v>0</v>
      </c>
      <c r="H219" s="217"/>
      <c r="I219" s="260"/>
      <c r="J219" s="219"/>
      <c r="K219" s="247"/>
      <c r="L219" s="217">
        <f>L217*-G198</f>
        <v>0</v>
      </c>
    </row>
    <row r="220" spans="1:12" ht="15.75" thickBot="1">
      <c r="A220" s="199"/>
      <c r="B220" s="205"/>
      <c r="C220" s="206"/>
      <c r="D220" s="203"/>
      <c r="E220" s="199"/>
      <c r="F220" s="199"/>
      <c r="G220" s="248"/>
      <c r="H220" s="291"/>
      <c r="I220" s="230"/>
      <c r="J220" s="230"/>
      <c r="K220" s="217"/>
      <c r="L220" s="248"/>
    </row>
    <row r="221" spans="1:12" ht="15.75" thickBot="1">
      <c r="A221" s="199"/>
      <c r="B221" s="205">
        <f>+B219+1</f>
        <v>130</v>
      </c>
      <c r="C221" s="206"/>
      <c r="D221" s="199" t="s">
        <v>249</v>
      </c>
      <c r="E221" s="199"/>
      <c r="F221" s="199"/>
      <c r="G221" s="292">
        <f>+G215+G213+G211+G194+G185+G176+G217+G219</f>
        <v>1728894878.0332091</v>
      </c>
      <c r="H221" s="199"/>
      <c r="I221" s="199"/>
      <c r="J221" s="199"/>
      <c r="K221" s="199"/>
      <c r="L221" s="292">
        <f>+L215+L213+L211+L194+L185+L176+L217+L219</f>
        <v>609212609.686764</v>
      </c>
    </row>
    <row r="222" spans="1:12" ht="15.75" thickTop="1">
      <c r="A222" s="199"/>
      <c r="B222" s="205"/>
      <c r="C222" s="206"/>
      <c r="D222" s="203" t="str">
        <f>"    (sum lns "&amp;B176&amp;", "&amp;B185&amp;", "&amp;B194&amp;", "&amp;B211&amp;", "&amp;B213&amp;", "&amp;B215&amp;", "&amp;B217&amp;", "&amp;B219&amp;")"</f>
        <v xml:space="preserve">    (sum lns 96, 103, 111, 125, 126, 127, 128, 129)</v>
      </c>
      <c r="E222" s="199"/>
      <c r="F222" s="213"/>
      <c r="G222" s="199"/>
      <c r="H222" s="199"/>
      <c r="I222" s="199"/>
      <c r="J222" s="199"/>
      <c r="K222" s="199"/>
      <c r="L222" s="199"/>
    </row>
    <row r="223" spans="1:12" ht="15">
      <c r="A223" s="199"/>
      <c r="B223" s="205"/>
      <c r="C223" s="206"/>
      <c r="D223" s="199"/>
      <c r="E223" s="199"/>
      <c r="F223" s="213"/>
      <c r="G223" s="199"/>
      <c r="H223" s="199"/>
      <c r="I223" s="199"/>
      <c r="J223" s="199"/>
      <c r="K223" s="199"/>
      <c r="L223" s="199"/>
    </row>
    <row r="224" spans="1:12" ht="15">
      <c r="A224" s="199"/>
      <c r="B224" s="205"/>
      <c r="C224" s="206"/>
      <c r="D224" s="203"/>
      <c r="E224" s="199"/>
      <c r="F224" s="263" t="str">
        <f>F134</f>
        <v xml:space="preserve">AEP East Companies </v>
      </c>
      <c r="G224" s="199"/>
      <c r="H224" s="199"/>
      <c r="I224" s="199"/>
      <c r="J224" s="199"/>
      <c r="K224" s="199"/>
      <c r="L224" s="199"/>
    </row>
    <row r="225" spans="1:12" ht="15">
      <c r="A225" s="199"/>
      <c r="B225" s="205"/>
      <c r="C225" s="206"/>
      <c r="D225" s="203"/>
      <c r="E225" s="199"/>
      <c r="F225" s="263" t="str">
        <f>F135</f>
        <v>Transmission Cost of Service Formula Rate</v>
      </c>
      <c r="G225" s="199"/>
      <c r="H225" s="199"/>
      <c r="I225" s="199"/>
      <c r="J225" s="199"/>
      <c r="K225" s="199"/>
      <c r="L225" s="199"/>
    </row>
    <row r="226" spans="1:12" ht="15">
      <c r="A226" s="199"/>
      <c r="B226" s="199"/>
      <c r="C226" s="206"/>
      <c r="D226" s="199"/>
      <c r="E226" s="199"/>
      <c r="F226" s="263" t="str">
        <f>F136</f>
        <v>Utilizing  Actual/Projected FERC Form 1 Data</v>
      </c>
      <c r="G226" s="199"/>
      <c r="H226" s="199"/>
      <c r="I226" s="199"/>
      <c r="J226" s="199"/>
      <c r="K226" s="199"/>
      <c r="L226" s="199"/>
    </row>
    <row r="227" spans="1:12" ht="15">
      <c r="A227" s="199"/>
      <c r="B227" s="205"/>
      <c r="C227" s="206"/>
      <c r="D227" s="199"/>
      <c r="E227" s="263"/>
      <c r="F227" s="263"/>
      <c r="G227" s="263"/>
      <c r="H227" s="263"/>
      <c r="I227" s="263"/>
      <c r="J227" s="263"/>
      <c r="K227" s="263"/>
      <c r="L227" s="199"/>
    </row>
    <row r="228" spans="1:12" ht="15">
      <c r="A228" s="199"/>
      <c r="B228" s="205"/>
      <c r="C228" s="206"/>
      <c r="D228" s="199"/>
      <c r="E228" s="203"/>
      <c r="F228" s="263" t="str">
        <f>F138</f>
        <v>Appalachian Power Company</v>
      </c>
      <c r="G228" s="203"/>
      <c r="H228" s="203"/>
      <c r="I228" s="203"/>
      <c r="J228" s="203"/>
      <c r="K228" s="203"/>
      <c r="L228" s="203"/>
    </row>
    <row r="229" spans="1:12" ht="15">
      <c r="A229" s="199"/>
      <c r="B229" s="205"/>
      <c r="C229" s="206"/>
      <c r="D229" s="199"/>
      <c r="E229" s="203"/>
      <c r="F229" s="263"/>
      <c r="G229" s="203"/>
      <c r="H229" s="203"/>
      <c r="I229" s="203"/>
      <c r="J229" s="203"/>
      <c r="K229" s="203"/>
      <c r="L229" s="203"/>
    </row>
    <row r="230" spans="1:12" ht="15.75">
      <c r="A230" s="199"/>
      <c r="B230" s="205"/>
      <c r="C230" s="206"/>
      <c r="D230" s="199"/>
      <c r="E230" s="199"/>
      <c r="F230" s="264" t="s">
        <v>40</v>
      </c>
      <c r="G230" s="199"/>
      <c r="H230" s="203"/>
      <c r="I230" s="203"/>
      <c r="J230" s="203"/>
      <c r="K230" s="203"/>
      <c r="L230" s="203"/>
    </row>
    <row r="231" spans="1:12" ht="15.75">
      <c r="A231" s="199"/>
      <c r="B231" s="205"/>
      <c r="C231" s="206"/>
      <c r="D231" s="293"/>
      <c r="E231" s="203"/>
      <c r="F231" s="203"/>
      <c r="G231" s="203"/>
      <c r="H231" s="203"/>
      <c r="I231" s="203"/>
      <c r="J231" s="203"/>
      <c r="K231" s="203"/>
      <c r="L231" s="203"/>
    </row>
    <row r="232" spans="1:12" ht="15.75">
      <c r="A232" s="199"/>
      <c r="B232" s="205" t="s">
        <v>116</v>
      </c>
      <c r="C232" s="206"/>
      <c r="D232" s="293"/>
      <c r="E232" s="203"/>
      <c r="F232" s="203"/>
      <c r="G232" s="203"/>
      <c r="H232" s="203"/>
      <c r="I232" s="203"/>
      <c r="J232" s="203"/>
      <c r="K232" s="203"/>
      <c r="L232" s="203"/>
    </row>
    <row r="233" spans="1:12" ht="15.75" thickBot="1">
      <c r="A233" s="199"/>
      <c r="B233" s="211" t="s">
        <v>117</v>
      </c>
      <c r="C233" s="206"/>
      <c r="D233" s="203" t="s">
        <v>221</v>
      </c>
      <c r="E233" s="203"/>
      <c r="F233" s="203"/>
      <c r="G233" s="203"/>
      <c r="H233" s="203"/>
      <c r="I233" s="203"/>
      <c r="J233" s="203"/>
      <c r="K233" s="199"/>
      <c r="L233" s="199"/>
    </row>
    <row r="234" spans="1:12" ht="15">
      <c r="A234" s="199"/>
      <c r="B234" s="205">
        <f>+B221+1</f>
        <v>131</v>
      </c>
      <c r="C234" s="206"/>
      <c r="D234" s="203" t="s">
        <v>166</v>
      </c>
      <c r="E234" s="294" t="str">
        <f>"(ln "&amp;B68&amp;")"</f>
        <v>(ln 21)</v>
      </c>
      <c r="F234" s="203"/>
      <c r="G234" s="199"/>
      <c r="H234" s="204"/>
      <c r="I234" s="204"/>
      <c r="J234" s="204"/>
      <c r="K234" s="204"/>
      <c r="L234" s="217">
        <f>+G68</f>
        <v>5375582057.3097467</v>
      </c>
    </row>
    <row r="235" spans="1:12" ht="15">
      <c r="A235" s="199"/>
      <c r="B235" s="205">
        <f>+B234+1</f>
        <v>132</v>
      </c>
      <c r="C235" s="206"/>
      <c r="D235" s="203" t="str">
        <f>"  Less transmission plant excluded from PJM Tariff  (Worksheet A, ln "&amp;'WS A - RB Support'!A62&amp;", Col. "&amp;'WS A - RB Support'!E47&amp;") (Note P)"</f>
        <v xml:space="preserve">  Less transmission plant excluded from PJM Tariff  (Worksheet A, ln 42, Col. (d)) (Note P)</v>
      </c>
      <c r="E235" s="199"/>
      <c r="F235" s="199"/>
      <c r="G235" s="263"/>
      <c r="H235" s="199"/>
      <c r="I235" s="199"/>
      <c r="J235" s="199"/>
      <c r="K235" s="199"/>
      <c r="L235" s="537">
        <f>'WS A - RB Support'!E62</f>
        <v>0</v>
      </c>
    </row>
    <row r="236" spans="1:12" ht="15.75" thickBot="1">
      <c r="A236" s="199"/>
      <c r="B236" s="205">
        <f>+B235+1</f>
        <v>133</v>
      </c>
      <c r="C236" s="206"/>
      <c r="D236" s="203" t="str">
        <f>"  Less transmission plant included in OATT Ancillary Services (Worksheet A, ln "&amp;'WS A - RB Support'!A62&amp;", Col. "&amp;'WS A - RB Support'!C47&amp;")  (Note Q)"</f>
        <v xml:space="preserve">  Less transmission plant included in OATT Ancillary Services (Worksheet A, ln 42, Col. (b))  (Note Q)</v>
      </c>
      <c r="E236" s="203"/>
      <c r="F236" s="203"/>
      <c r="G236" s="218"/>
      <c r="H236" s="204"/>
      <c r="I236" s="204"/>
      <c r="J236" s="218"/>
      <c r="K236" s="204"/>
      <c r="L236" s="295">
        <f>'WS A - RB Support'!C62</f>
        <v>83064198.99000001</v>
      </c>
    </row>
    <row r="237" spans="1:12" ht="15">
      <c r="A237" s="199"/>
      <c r="B237" s="205">
        <f>+B236+1</f>
        <v>134</v>
      </c>
      <c r="C237" s="206"/>
      <c r="D237" s="203" t="s">
        <v>222</v>
      </c>
      <c r="E237" s="215" t="str">
        <f>"(ln "&amp;B234&amp;" - ln "&amp;B235&amp;" - ln "&amp;B236&amp;")"</f>
        <v>(ln 131 - ln 132 - ln 133)</v>
      </c>
      <c r="F237" s="203"/>
      <c r="G237" s="199"/>
      <c r="H237" s="204"/>
      <c r="I237" s="204"/>
      <c r="J237" s="218"/>
      <c r="K237" s="204"/>
      <c r="L237" s="217">
        <f>L234-L235-L236</f>
        <v>5292517858.319747</v>
      </c>
    </row>
    <row r="238" spans="1:12" ht="15">
      <c r="A238" s="199"/>
      <c r="B238" s="205"/>
      <c r="C238" s="206"/>
      <c r="D238" s="199"/>
      <c r="E238" s="203"/>
      <c r="F238" s="203"/>
      <c r="G238" s="218"/>
      <c r="H238" s="204"/>
      <c r="I238" s="204"/>
      <c r="J238" s="218"/>
      <c r="K238" s="204"/>
      <c r="L238" s="199"/>
    </row>
    <row r="239" spans="1:12" ht="15.75">
      <c r="A239" s="199"/>
      <c r="B239" s="205">
        <f>+B237+1</f>
        <v>135</v>
      </c>
      <c r="C239" s="206"/>
      <c r="D239" s="203" t="s">
        <v>223</v>
      </c>
      <c r="E239" s="206" t="str">
        <f>"(ln "&amp;B237&amp;" / ln "&amp;B234&amp;")"</f>
        <v>(ln 134 / ln 131)</v>
      </c>
      <c r="F239" s="209"/>
      <c r="G239" s="199"/>
      <c r="H239" s="209"/>
      <c r="I239" s="207"/>
      <c r="J239" s="207"/>
      <c r="K239" s="241" t="s">
        <v>143</v>
      </c>
      <c r="L239" s="296">
        <f>IF(L234&gt;0,L237/L234,0)</f>
        <v>0.98454786884388668</v>
      </c>
    </row>
    <row r="240" spans="1:12" ht="15.75">
      <c r="A240" s="199"/>
      <c r="B240" s="205"/>
      <c r="C240" s="206"/>
      <c r="D240" s="293"/>
      <c r="E240" s="203"/>
      <c r="F240" s="203"/>
      <c r="G240" s="204"/>
      <c r="H240" s="203"/>
      <c r="I240" s="206"/>
      <c r="J240" s="203"/>
      <c r="K240" s="203"/>
      <c r="L240" s="203"/>
    </row>
    <row r="241" spans="1:12" ht="15">
      <c r="A241" s="199"/>
      <c r="B241" s="205"/>
      <c r="C241" s="206"/>
      <c r="D241" s="203"/>
      <c r="E241" s="203"/>
      <c r="F241" s="203"/>
      <c r="G241" s="204"/>
      <c r="H241" s="203"/>
      <c r="I241" s="206"/>
      <c r="J241" s="203"/>
      <c r="K241" s="203"/>
      <c r="L241" s="203"/>
    </row>
    <row r="242" spans="1:12" ht="15.75">
      <c r="A242" s="199"/>
      <c r="B242" s="205"/>
      <c r="C242" s="206"/>
      <c r="D242" s="293"/>
      <c r="E242" s="203"/>
      <c r="F242" s="203"/>
      <c r="G242" s="204"/>
      <c r="H242" s="203"/>
      <c r="I242" s="206"/>
      <c r="J242" s="203"/>
      <c r="K242" s="203"/>
      <c r="L242" s="217"/>
    </row>
    <row r="243" spans="1:12" ht="15.75">
      <c r="A243" s="199"/>
      <c r="B243" s="205"/>
      <c r="C243" s="206"/>
      <c r="D243" s="293"/>
      <c r="E243" s="204"/>
      <c r="F243" s="203"/>
      <c r="G243" s="204"/>
      <c r="H243" s="203"/>
      <c r="I243" s="206"/>
      <c r="J243" s="203"/>
      <c r="K243" s="203"/>
      <c r="L243" s="203"/>
    </row>
    <row r="244" spans="1:12" ht="15.75">
      <c r="A244" s="199"/>
      <c r="B244" s="205"/>
      <c r="C244" s="206"/>
      <c r="D244" s="293"/>
      <c r="E244" s="203"/>
      <c r="F244" s="203"/>
      <c r="G244" s="204"/>
      <c r="H244" s="203"/>
      <c r="I244" s="206"/>
      <c r="J244" s="203"/>
      <c r="K244" s="203"/>
      <c r="L244" s="203"/>
    </row>
    <row r="245" spans="1:12" ht="15.75">
      <c r="A245" s="199"/>
      <c r="B245" s="205"/>
      <c r="C245" s="206"/>
      <c r="D245" s="293"/>
      <c r="E245" s="203"/>
      <c r="F245" s="203"/>
      <c r="G245" s="204"/>
      <c r="H245" s="203"/>
      <c r="I245" s="206"/>
      <c r="J245" s="203"/>
      <c r="K245" s="203"/>
      <c r="L245" s="203"/>
    </row>
    <row r="246" spans="1:12" ht="15.75">
      <c r="A246" s="199"/>
      <c r="B246" s="205"/>
      <c r="C246" s="206"/>
      <c r="D246" s="203"/>
      <c r="E246" s="203"/>
      <c r="F246" s="203"/>
      <c r="G246" s="204"/>
      <c r="H246" s="203"/>
      <c r="I246" s="206"/>
      <c r="J246" s="203"/>
      <c r="K246" s="203"/>
      <c r="L246" s="293"/>
    </row>
    <row r="247" spans="1:12" ht="15.75">
      <c r="A247" s="199"/>
      <c r="B247" s="205"/>
      <c r="C247" s="206"/>
      <c r="D247" s="293"/>
      <c r="E247" s="203"/>
      <c r="F247" s="203"/>
      <c r="G247" s="204"/>
      <c r="H247" s="203"/>
      <c r="I247" s="206"/>
      <c r="J247" s="203"/>
      <c r="K247" s="203"/>
      <c r="L247" s="203"/>
    </row>
    <row r="248" spans="1:12" ht="30">
      <c r="A248" s="199"/>
      <c r="B248" s="205">
        <f>B239+1</f>
        <v>136</v>
      </c>
      <c r="C248" s="206"/>
      <c r="D248" s="203" t="s">
        <v>41</v>
      </c>
      <c r="E248" s="218" t="s">
        <v>343</v>
      </c>
      <c r="F248" s="218" t="s">
        <v>184</v>
      </c>
      <c r="G248" s="297" t="s">
        <v>214</v>
      </c>
      <c r="H248" s="263" t="s">
        <v>118</v>
      </c>
      <c r="I248" s="218"/>
      <c r="J248" s="204"/>
      <c r="K248" s="204"/>
      <c r="L248" s="204"/>
    </row>
    <row r="249" spans="1:12" ht="15">
      <c r="A249" s="199"/>
      <c r="B249" s="205">
        <f t="shared" ref="B249:B255" si="11">+B248+1</f>
        <v>137</v>
      </c>
      <c r="C249" s="206"/>
      <c r="D249" s="203" t="s">
        <v>126</v>
      </c>
      <c r="E249" s="204" t="s">
        <v>431</v>
      </c>
      <c r="F249" s="956">
        <v>57361333</v>
      </c>
      <c r="G249" s="956">
        <v>25846963</v>
      </c>
      <c r="H249" s="242">
        <f>+F249+G249</f>
        <v>83208296</v>
      </c>
      <c r="I249" s="218" t="s">
        <v>127</v>
      </c>
      <c r="J249" s="219">
        <v>0</v>
      </c>
      <c r="K249" s="298"/>
      <c r="L249" s="217">
        <f>(F249+G249)*J249</f>
        <v>0</v>
      </c>
    </row>
    <row r="250" spans="1:12" ht="15">
      <c r="A250" s="199"/>
      <c r="B250" s="205">
        <f t="shared" si="11"/>
        <v>138</v>
      </c>
      <c r="C250" s="206"/>
      <c r="D250" s="203" t="s">
        <v>128</v>
      </c>
      <c r="E250" s="204" t="s">
        <v>12</v>
      </c>
      <c r="F250" s="956">
        <v>196236</v>
      </c>
      <c r="G250" s="956">
        <v>19015373</v>
      </c>
      <c r="H250" s="242">
        <f>+F250+G250</f>
        <v>19211609</v>
      </c>
      <c r="I250" s="206" t="s">
        <v>120</v>
      </c>
      <c r="J250" s="219">
        <f>L239</f>
        <v>0.98454786884388668</v>
      </c>
      <c r="K250" s="298"/>
      <c r="L250" s="217">
        <f>(F250+G250)*J250</f>
        <v>18914748.698012032</v>
      </c>
    </row>
    <row r="251" spans="1:12" ht="15">
      <c r="A251" s="199"/>
      <c r="B251" s="205">
        <f t="shared" si="11"/>
        <v>139</v>
      </c>
      <c r="C251" s="206"/>
      <c r="D251" s="203" t="s">
        <v>226</v>
      </c>
      <c r="E251" s="204" t="s">
        <v>466</v>
      </c>
      <c r="F251" s="956">
        <v>0</v>
      </c>
      <c r="G251" s="956">
        <v>0</v>
      </c>
      <c r="H251" s="242">
        <v>0</v>
      </c>
      <c r="I251" s="218" t="s">
        <v>127</v>
      </c>
      <c r="J251" s="219">
        <v>0</v>
      </c>
      <c r="K251" s="298"/>
      <c r="L251" s="217">
        <f>(F251+G251)*J251</f>
        <v>0</v>
      </c>
    </row>
    <row r="252" spans="1:12" ht="15">
      <c r="A252" s="199"/>
      <c r="B252" s="205"/>
      <c r="C252" s="206"/>
      <c r="D252" s="203"/>
      <c r="E252" s="204"/>
      <c r="F252" s="1190"/>
      <c r="G252" s="1190"/>
      <c r="H252" s="242"/>
      <c r="I252" s="218"/>
      <c r="J252" s="219"/>
      <c r="K252" s="298"/>
      <c r="L252" s="217"/>
    </row>
    <row r="253" spans="1:12" ht="15">
      <c r="A253" s="199"/>
      <c r="B253" s="205">
        <f>+B251+1</f>
        <v>140</v>
      </c>
      <c r="C253" s="206"/>
      <c r="D253" s="203" t="s">
        <v>130</v>
      </c>
      <c r="E253" s="204" t="s">
        <v>429</v>
      </c>
      <c r="F253" s="956">
        <v>51849495</v>
      </c>
      <c r="G253" s="956">
        <v>6434533</v>
      </c>
      <c r="H253" s="242">
        <f>+F253+G253</f>
        <v>58284028</v>
      </c>
      <c r="I253" s="218" t="s">
        <v>127</v>
      </c>
      <c r="J253" s="219">
        <v>0</v>
      </c>
      <c r="K253" s="298"/>
      <c r="L253" s="217">
        <f>(F253+G253)*J253</f>
        <v>0</v>
      </c>
    </row>
    <row r="254" spans="1:12" ht="15.75" thickBot="1">
      <c r="A254" s="199"/>
      <c r="B254" s="205">
        <f t="shared" si="11"/>
        <v>141</v>
      </c>
      <c r="C254" s="206"/>
      <c r="D254" s="203" t="s">
        <v>201</v>
      </c>
      <c r="E254" s="204" t="s">
        <v>430</v>
      </c>
      <c r="F254" s="957">
        <v>6683169</v>
      </c>
      <c r="G254" s="957">
        <v>9742756</v>
      </c>
      <c r="H254" s="299">
        <f>+F254+G254</f>
        <v>16425925</v>
      </c>
      <c r="I254" s="218" t="s">
        <v>127</v>
      </c>
      <c r="J254" s="219">
        <v>0</v>
      </c>
      <c r="K254" s="298"/>
      <c r="L254" s="248">
        <f>(F254+G254)*J254</f>
        <v>0</v>
      </c>
    </row>
    <row r="255" spans="1:12" ht="15">
      <c r="A255" s="199"/>
      <c r="B255" s="205">
        <f t="shared" si="11"/>
        <v>142</v>
      </c>
      <c r="C255" s="206"/>
      <c r="D255" s="203" t="s">
        <v>118</v>
      </c>
      <c r="E255" s="203" t="str">
        <f>"(sum lns "&amp;B249&amp;" to "&amp;B254&amp;")"</f>
        <v>(sum lns 137 to 141)</v>
      </c>
      <c r="F255" s="204">
        <f>SUM(F249:F254)</f>
        <v>116090233</v>
      </c>
      <c r="G255" s="204">
        <f>SUM(G249:G254)</f>
        <v>61039625</v>
      </c>
      <c r="H255" s="204">
        <f>SUM(H249:H254)</f>
        <v>177129858</v>
      </c>
      <c r="I255" s="218"/>
      <c r="J255" s="204"/>
      <c r="K255" s="204"/>
      <c r="L255" s="217">
        <f>SUM(L249:L254)</f>
        <v>18914748.698012032</v>
      </c>
    </row>
    <row r="256" spans="1:12" ht="15">
      <c r="A256" s="199"/>
      <c r="B256" s="205"/>
      <c r="C256" s="206"/>
      <c r="D256" s="203" t="s">
        <v>114</v>
      </c>
      <c r="E256" s="204" t="s">
        <v>114</v>
      </c>
      <c r="F256" s="204"/>
      <c r="G256" s="199"/>
      <c r="H256" s="204"/>
      <c r="I256" s="263"/>
      <c r="J256" s="199"/>
      <c r="K256" s="199"/>
      <c r="L256" s="199"/>
    </row>
    <row r="257" spans="1:12" ht="15.75">
      <c r="A257" s="199"/>
      <c r="B257" s="205">
        <f>B255+1</f>
        <v>143</v>
      </c>
      <c r="C257" s="206"/>
      <c r="D257" s="203" t="s">
        <v>42</v>
      </c>
      <c r="E257" s="204"/>
      <c r="F257" s="204"/>
      <c r="G257" s="204"/>
      <c r="H257" s="204"/>
      <c r="I257" s="263"/>
      <c r="J257" s="199"/>
      <c r="K257" s="300" t="s">
        <v>43</v>
      </c>
      <c r="L257" s="301">
        <f>L255/(F255+G255)</f>
        <v>0.10678464326444631</v>
      </c>
    </row>
    <row r="258" spans="1:12" ht="15">
      <c r="A258" s="199"/>
      <c r="B258" s="205"/>
      <c r="C258" s="206"/>
      <c r="D258" s="203"/>
      <c r="E258" s="204"/>
      <c r="F258" s="204"/>
      <c r="G258" s="204"/>
      <c r="H258" s="204"/>
      <c r="I258" s="218"/>
      <c r="J258" s="204"/>
      <c r="K258" s="204"/>
      <c r="L258" s="204"/>
    </row>
    <row r="259" spans="1:12" ht="15.75">
      <c r="A259" s="199"/>
      <c r="B259" s="205"/>
      <c r="C259" s="206"/>
      <c r="D259" s="203"/>
      <c r="E259" s="213"/>
      <c r="F259" s="204"/>
      <c r="G259" s="199"/>
      <c r="H259" s="204"/>
      <c r="I259" s="204"/>
      <c r="J259" s="204"/>
      <c r="K259" s="241"/>
      <c r="L259" s="302"/>
    </row>
    <row r="260" spans="1:12" ht="15.75" thickBot="1">
      <c r="A260" s="199"/>
      <c r="B260" s="205">
        <f>+B257+1</f>
        <v>144</v>
      </c>
      <c r="C260" s="206"/>
      <c r="D260" s="203" t="s">
        <v>198</v>
      </c>
      <c r="E260" s="204"/>
      <c r="F260" s="204"/>
      <c r="G260" s="204"/>
      <c r="H260" s="204"/>
      <c r="I260" s="204"/>
      <c r="J260" s="204"/>
      <c r="K260" s="204"/>
      <c r="L260" s="303" t="s">
        <v>144</v>
      </c>
    </row>
    <row r="261" spans="1:12" ht="15">
      <c r="A261" s="199"/>
      <c r="B261" s="205">
        <f t="shared" ref="B261:B268" si="12">+B260+1</f>
        <v>145</v>
      </c>
      <c r="C261" s="206"/>
      <c r="D261" s="204" t="s">
        <v>219</v>
      </c>
      <c r="E261" s="199" t="str">
        <f>"(Worksheet M, ln. "&amp;'WS M - Cost of Capital'!A56&amp;", col. "&amp;'WS M - Cost of Capital'!E47&amp;")"</f>
        <v>(Worksheet M, ln. 37, col. (d))</v>
      </c>
      <c r="F261" s="204"/>
      <c r="G261" s="204"/>
      <c r="H261" s="204"/>
      <c r="I261" s="204"/>
      <c r="J261" s="204"/>
      <c r="K261" s="204"/>
      <c r="L261" s="217">
        <f>'WS M - Cost of Capital'!E56</f>
        <v>256532866.0318591</v>
      </c>
    </row>
    <row r="262" spans="1:12" ht="15">
      <c r="A262" s="199"/>
      <c r="B262" s="205">
        <f t="shared" si="12"/>
        <v>146</v>
      </c>
      <c r="C262" s="206"/>
      <c r="D262" s="204" t="s">
        <v>220</v>
      </c>
      <c r="E262" s="199" t="str">
        <f>"(Worksheet M, ln. "&amp;'WS M - Cost of Capital'!A103&amp;")"</f>
        <v>(Worksheet M, ln. 71)</v>
      </c>
      <c r="F262" s="204"/>
      <c r="G262" s="204"/>
      <c r="H262" s="204"/>
      <c r="I262" s="204"/>
      <c r="J262" s="204"/>
      <c r="K262" s="204"/>
      <c r="L262" s="217">
        <f>'WS M - Cost of Capital'!E103</f>
        <v>0</v>
      </c>
    </row>
    <row r="263" spans="1:12" ht="15">
      <c r="A263" s="199"/>
      <c r="B263" s="205">
        <f t="shared" si="12"/>
        <v>147</v>
      </c>
      <c r="C263" s="206"/>
      <c r="D263" s="304" t="s">
        <v>242</v>
      </c>
      <c r="E263" s="204"/>
      <c r="F263" s="204"/>
      <c r="G263" s="204"/>
      <c r="I263" s="204"/>
      <c r="J263" s="204"/>
      <c r="K263" s="204"/>
      <c r="L263" s="217"/>
    </row>
    <row r="264" spans="1:12" ht="15">
      <c r="A264" s="199"/>
      <c r="B264" s="205">
        <f t="shared" si="12"/>
        <v>148</v>
      </c>
      <c r="C264" s="206"/>
      <c r="D264" s="204" t="s">
        <v>243</v>
      </c>
      <c r="E264" s="316" t="str">
        <f>"(Worksheet M, ln. "&amp;'WS M - Cost of Capital'!A23&amp;", col. "&amp;'WS M - Cost of Capital'!C8&amp;")"</f>
        <v>(Worksheet M, ln. 14, col. (b))</v>
      </c>
      <c r="F264" s="204"/>
      <c r="G264" s="203"/>
      <c r="H264" s="155"/>
      <c r="I264" s="204"/>
      <c r="J264" s="204"/>
      <c r="K264" s="204"/>
      <c r="L264" s="217">
        <f>'WS M - Cost of Capital'!C23</f>
        <v>5508300259.4200611</v>
      </c>
    </row>
    <row r="265" spans="1:12" ht="15">
      <c r="A265" s="199"/>
      <c r="B265" s="205">
        <f t="shared" si="12"/>
        <v>149</v>
      </c>
      <c r="C265" s="206"/>
      <c r="D265" s="204" t="s">
        <v>368</v>
      </c>
      <c r="E265" s="316" t="str">
        <f>"(Worksheet M, ln. "&amp;'WS M - Cost of Capital'!A23&amp;", col. "&amp;'WS M - Cost of Capital'!D8&amp;")"</f>
        <v>(Worksheet M, ln. 14, col. (c))</v>
      </c>
      <c r="F265" s="204"/>
      <c r="G265" s="204"/>
      <c r="H265" s="155"/>
      <c r="I265" s="204"/>
      <c r="J265" s="204"/>
      <c r="K265" s="204"/>
      <c r="L265" s="242">
        <f>'WS M - Cost of Capital'!D23</f>
        <v>0</v>
      </c>
    </row>
    <row r="266" spans="1:12" ht="15">
      <c r="A266" s="199"/>
      <c r="B266" s="205">
        <f>+B265+1</f>
        <v>150</v>
      </c>
      <c r="C266" s="206"/>
      <c r="D266" s="204" t="s">
        <v>361</v>
      </c>
      <c r="E266" s="316" t="str">
        <f>"(Worksheet M, ln. "&amp;'WS M - Cost of Capital'!A23&amp;", col. "&amp;'WS M - Cost of Capital'!E8&amp;")"</f>
        <v>(Worksheet M, ln. 14, col. (d))</v>
      </c>
      <c r="F266" s="204"/>
      <c r="G266" s="204"/>
      <c r="H266" s="155"/>
      <c r="I266" s="204"/>
      <c r="J266" s="204"/>
      <c r="K266" s="204"/>
      <c r="L266" s="242">
        <f>'WS M - Cost of Capital'!E23</f>
        <v>-3463212.6300000004</v>
      </c>
    </row>
    <row r="267" spans="1:12" ht="15.75" thickBot="1">
      <c r="A267" s="199"/>
      <c r="B267" s="205">
        <f t="shared" si="12"/>
        <v>151</v>
      </c>
      <c r="C267" s="206"/>
      <c r="D267" s="204" t="s">
        <v>367</v>
      </c>
      <c r="E267" s="316" t="str">
        <f>"(Worksheet M, ln. "&amp;'WS M - Cost of Capital'!A23&amp;", col. "&amp;'WS M - Cost of Capital'!F8&amp;")"</f>
        <v>(Worksheet M, ln. 14, col. (e))</v>
      </c>
      <c r="F267" s="204"/>
      <c r="G267" s="204"/>
      <c r="H267" s="155"/>
      <c r="I267" s="204"/>
      <c r="J267" s="259"/>
      <c r="K267" s="204"/>
      <c r="L267" s="299">
        <f>'WS M - Cost of Capital'!F23</f>
        <v>9666662.3456773534</v>
      </c>
    </row>
    <row r="268" spans="1:12" ht="15">
      <c r="A268" s="199"/>
      <c r="B268" s="205">
        <f t="shared" si="12"/>
        <v>152</v>
      </c>
      <c r="C268" s="206"/>
      <c r="D268" s="199" t="s">
        <v>244</v>
      </c>
      <c r="E268" s="204" t="str">
        <f>"(ln "&amp;B264&amp;" - ln "&amp;B265&amp;" - ln "&amp;B266&amp;" - ln "&amp;B267&amp;")"</f>
        <v>(ln 148 - ln 149 - ln 150 - ln 151)</v>
      </c>
      <c r="F268" s="213"/>
      <c r="G268" s="199"/>
      <c r="H268" s="203"/>
      <c r="I268" s="203"/>
      <c r="J268" s="203"/>
      <c r="K268" s="203"/>
      <c r="L268" s="217">
        <f>+L264-L265-L266-L267</f>
        <v>5502096809.7043839</v>
      </c>
    </row>
    <row r="269" spans="1:12" ht="15.75">
      <c r="A269" s="199"/>
      <c r="B269" s="205"/>
      <c r="C269" s="206"/>
      <c r="D269" s="203"/>
      <c r="E269" s="204"/>
      <c r="F269" s="204"/>
      <c r="G269" s="266"/>
      <c r="H269" s="1229" t="s">
        <v>961</v>
      </c>
      <c r="I269" s="1229"/>
      <c r="J269" s="305" t="s">
        <v>145</v>
      </c>
      <c r="K269" s="204"/>
      <c r="L269" s="204"/>
    </row>
    <row r="270" spans="1:12" ht="15.75" thickBot="1">
      <c r="A270" s="199"/>
      <c r="B270" s="205">
        <f>+B268+1</f>
        <v>153</v>
      </c>
      <c r="C270" s="206"/>
      <c r="D270" s="203"/>
      <c r="E270" s="199"/>
      <c r="F270" s="204"/>
      <c r="G270" s="212" t="s">
        <v>144</v>
      </c>
      <c r="H270" s="212" t="s">
        <v>146</v>
      </c>
      <c r="I270" s="303" t="s">
        <v>960</v>
      </c>
      <c r="J270" s="306" t="s">
        <v>427</v>
      </c>
      <c r="K270" s="204"/>
      <c r="L270" s="212" t="s">
        <v>147</v>
      </c>
    </row>
    <row r="271" spans="1:12" ht="15">
      <c r="A271" s="199"/>
      <c r="B271" s="205">
        <f>+B270+1</f>
        <v>154</v>
      </c>
      <c r="C271" s="206"/>
      <c r="D271" s="316" t="str">
        <f>"  Long Term Debt  (Note T) Worksheet M, ln "&amp;'WS M - Cost of Capital'!A42&amp;", col. (g), ln "&amp;'WS M - Cost of Capital'!A58&amp;", col. "&amp;'WS M - Cost of Capital'!E47&amp;")"</f>
        <v xml:space="preserve">  Long Term Debt  (Note T) Worksheet M, ln 28, col. (g), ln 38, col. (d))</v>
      </c>
      <c r="E271" s="316"/>
      <c r="F271" s="204"/>
      <c r="G271" s="217">
        <f>'WS M - Cost of Capital'!H42</f>
        <v>5385253917.1476898</v>
      </c>
      <c r="H271" s="881">
        <f>IF($G$274&gt;0,G271/$G$274,0)</f>
        <v>0.49463400713873773</v>
      </c>
      <c r="I271" s="227">
        <f>IF(H273&gt;E276,1-I272-I273,H271)</f>
        <v>0.49463400713873773</v>
      </c>
      <c r="J271" s="259">
        <f>'WS M - Cost of Capital'!E58</f>
        <v>4.7636169060665617E-2</v>
      </c>
      <c r="K271" s="199"/>
      <c r="L271" s="308">
        <f>H271*J271</f>
        <v>2.3562469187215395E-2</v>
      </c>
    </row>
    <row r="272" spans="1:12" ht="15">
      <c r="A272" s="199"/>
      <c r="B272" s="205">
        <f>+B271+1</f>
        <v>155</v>
      </c>
      <c r="C272" s="206"/>
      <c r="D272" s="203" t="str">
        <f>"  Preferred Stock (ln "&amp;B265&amp;")"</f>
        <v xml:space="preserve">  Preferred Stock (ln 149)</v>
      </c>
      <c r="E272" s="199"/>
      <c r="F272" s="199"/>
      <c r="G272" s="217">
        <f>+L265</f>
        <v>0</v>
      </c>
      <c r="H272" s="227">
        <f>IF($G$274&gt;0,G272/$G$274,0)</f>
        <v>0</v>
      </c>
      <c r="I272" s="227">
        <f>H272</f>
        <v>0</v>
      </c>
      <c r="J272" s="307">
        <f>IF(G272&gt;0,L262/G272,0)</f>
        <v>0</v>
      </c>
      <c r="K272" s="199"/>
      <c r="L272" s="309">
        <f>H272*J272</f>
        <v>0</v>
      </c>
    </row>
    <row r="273" spans="1:12" ht="15.75" thickBot="1">
      <c r="A273" s="199"/>
      <c r="B273" s="205">
        <f>+B272+1</f>
        <v>156</v>
      </c>
      <c r="C273" s="206"/>
      <c r="D273" s="203" t="str">
        <f>"  Common Stock (ln "&amp;B268&amp;")"</f>
        <v xml:space="preserve">  Common Stock (ln 152)</v>
      </c>
      <c r="E273" s="199"/>
      <c r="F273" s="199"/>
      <c r="G273" s="248">
        <f>+L268</f>
        <v>5502096809.7043839</v>
      </c>
      <c r="H273" s="227">
        <f>IF($G$274&gt;0,G273/$G$274,0)</f>
        <v>0.50536599286126227</v>
      </c>
      <c r="I273" s="227">
        <f>IF(H273&gt;E276,E276,H273)</f>
        <v>0.50536599286126227</v>
      </c>
      <c r="J273" s="891">
        <v>0.10349999999999999</v>
      </c>
      <c r="K273" s="199"/>
      <c r="L273" s="310">
        <f>H273*J273</f>
        <v>5.2305380261140642E-2</v>
      </c>
    </row>
    <row r="274" spans="1:12" ht="15.75">
      <c r="A274" s="199"/>
      <c r="B274" s="205">
        <f>+B273+1</f>
        <v>157</v>
      </c>
      <c r="C274" s="206"/>
      <c r="D274" s="203" t="str">
        <f>" Total (Sum lns "&amp;B271&amp;" to "&amp;B273&amp;")"</f>
        <v xml:space="preserve"> Total (Sum lns 154 to 156)</v>
      </c>
      <c r="E274" s="199"/>
      <c r="F274" s="199"/>
      <c r="G274" s="217">
        <f>G273+G272+G271</f>
        <v>10887350726.852074</v>
      </c>
      <c r="H274" s="199"/>
      <c r="I274" s="276"/>
      <c r="J274" s="311"/>
      <c r="K274" s="257" t="s">
        <v>25</v>
      </c>
      <c r="L274" s="312">
        <f>SUM(L271:L273)</f>
        <v>7.5867849448356034E-2</v>
      </c>
    </row>
    <row r="275" spans="1:12" ht="15.75">
      <c r="A275" s="199"/>
      <c r="B275" s="205"/>
      <c r="C275" s="206"/>
      <c r="D275" s="203"/>
      <c r="E275" s="199"/>
      <c r="F275" s="199"/>
      <c r="G275" s="217"/>
      <c r="H275" s="199"/>
      <c r="I275" s="276"/>
      <c r="J275" s="311"/>
      <c r="K275" s="257"/>
      <c r="L275" s="312"/>
    </row>
    <row r="276" spans="1:12" ht="15.75">
      <c r="A276" s="199"/>
      <c r="B276" s="205">
        <f>B274+1</f>
        <v>158</v>
      </c>
      <c r="C276" s="2"/>
      <c r="D276" s="2" t="s">
        <v>959</v>
      </c>
      <c r="E276" s="908">
        <v>0.55000000000000004</v>
      </c>
      <c r="F276" s="199"/>
      <c r="G276" s="217"/>
      <c r="H276" s="199"/>
      <c r="I276" s="276"/>
      <c r="J276" s="311"/>
      <c r="K276" s="257"/>
      <c r="L276" s="312"/>
    </row>
    <row r="277" spans="1:12" ht="15">
      <c r="A277" s="199"/>
      <c r="B277" s="205"/>
      <c r="C277" s="155"/>
      <c r="D277" s="155"/>
      <c r="J277" s="204"/>
      <c r="K277" s="203"/>
      <c r="L277" s="204"/>
    </row>
    <row r="278" spans="1:12" ht="15.75">
      <c r="A278" s="199"/>
      <c r="B278" s="261"/>
      <c r="C278" s="206"/>
      <c r="D278" s="200"/>
      <c r="E278" s="200"/>
      <c r="F278" s="263" t="str">
        <f>F224</f>
        <v xml:space="preserve">AEP East Companies </v>
      </c>
      <c r="G278" s="201"/>
      <c r="H278" s="204"/>
      <c r="I278" s="204"/>
      <c r="J278" s="204"/>
      <c r="K278" s="203"/>
      <c r="L278" s="204"/>
    </row>
    <row r="279" spans="1:12" ht="15">
      <c r="A279" s="199"/>
      <c r="B279" s="261"/>
      <c r="C279" s="206"/>
      <c r="D279" s="199"/>
      <c r="E279" s="206"/>
      <c r="F279" s="263" t="str">
        <f>F225</f>
        <v>Transmission Cost of Service Formula Rate</v>
      </c>
      <c r="G279" s="204"/>
      <c r="H279" s="204"/>
      <c r="I279" s="204"/>
      <c r="J279" s="204"/>
      <c r="K279" s="203"/>
      <c r="L279" s="214"/>
    </row>
    <row r="280" spans="1:12" ht="15.75">
      <c r="A280" s="199"/>
      <c r="B280" s="261"/>
      <c r="C280" s="206"/>
      <c r="D280" s="199"/>
      <c r="E280" s="264"/>
      <c r="F280" s="263" t="str">
        <f>F226</f>
        <v>Utilizing  Actual/Projected FERC Form 1 Data</v>
      </c>
      <c r="G280" s="204"/>
      <c r="H280" s="204"/>
      <c r="I280" s="204"/>
      <c r="J280" s="204"/>
      <c r="K280" s="203"/>
      <c r="L280" s="214"/>
    </row>
    <row r="281" spans="1:12" ht="15.75">
      <c r="A281" s="199"/>
      <c r="B281" s="205"/>
      <c r="C281" s="206"/>
      <c r="D281" s="199"/>
      <c r="E281" s="264"/>
      <c r="F281" s="263"/>
      <c r="G281" s="204"/>
      <c r="H281" s="204"/>
      <c r="I281" s="204"/>
      <c r="J281" s="204"/>
      <c r="K281" s="203"/>
      <c r="L281" s="214"/>
    </row>
    <row r="282" spans="1:12" ht="15.75">
      <c r="A282" s="199"/>
      <c r="B282" s="205"/>
      <c r="C282" s="206"/>
      <c r="D282" s="199"/>
      <c r="E282" s="264"/>
      <c r="F282" s="263" t="str">
        <f>F228</f>
        <v>Appalachian Power Company</v>
      </c>
      <c r="G282" s="204"/>
      <c r="H282" s="204"/>
      <c r="I282" s="204"/>
      <c r="J282" s="204"/>
      <c r="K282" s="203"/>
      <c r="L282" s="214"/>
    </row>
    <row r="283" spans="1:12" ht="15.75">
      <c r="A283" s="199"/>
      <c r="B283" s="205"/>
      <c r="C283" s="206"/>
      <c r="D283" s="199"/>
      <c r="E283" s="264"/>
      <c r="F283" s="263"/>
      <c r="G283" s="204"/>
      <c r="H283" s="204"/>
      <c r="I283" s="204"/>
      <c r="J283" s="204"/>
      <c r="K283" s="203"/>
      <c r="L283" s="214"/>
    </row>
    <row r="284" spans="1:12" ht="15.75">
      <c r="A284" s="199"/>
      <c r="B284" s="240" t="s">
        <v>176</v>
      </c>
      <c r="C284" s="206"/>
      <c r="D284" s="203"/>
      <c r="E284" s="203"/>
      <c r="F284" s="240" t="s">
        <v>175</v>
      </c>
      <c r="G284" s="204"/>
      <c r="H284" s="204"/>
      <c r="I284" s="204"/>
      <c r="J284" s="204"/>
      <c r="K284" s="203"/>
      <c r="L284" s="204"/>
    </row>
    <row r="285" spans="1:12" ht="15">
      <c r="A285" s="199"/>
      <c r="B285" s="198"/>
      <c r="C285" s="206"/>
      <c r="D285" s="199"/>
      <c r="E285" s="199"/>
      <c r="F285" s="199"/>
      <c r="G285" s="199"/>
      <c r="H285" s="199"/>
      <c r="I285" s="199"/>
      <c r="J285" s="199"/>
      <c r="K285" s="199"/>
      <c r="L285" s="214"/>
    </row>
    <row r="286" spans="1:12" ht="15">
      <c r="A286" s="199"/>
      <c r="B286" s="205"/>
      <c r="C286" s="206"/>
      <c r="D286" s="203" t="s">
        <v>5</v>
      </c>
      <c r="E286" s="206"/>
      <c r="F286" s="206"/>
      <c r="G286" s="204"/>
      <c r="H286" s="204"/>
      <c r="I286" s="204"/>
      <c r="J286" s="204"/>
      <c r="K286" s="203"/>
      <c r="L286" s="204"/>
    </row>
    <row r="287" spans="1:12" ht="15">
      <c r="A287" s="199"/>
      <c r="B287" s="199"/>
      <c r="C287" s="199"/>
      <c r="D287" s="203"/>
      <c r="E287" s="203"/>
      <c r="F287" s="203"/>
      <c r="G287" s="204"/>
      <c r="H287" s="204"/>
      <c r="I287" s="204"/>
      <c r="J287" s="204"/>
      <c r="K287" s="203"/>
      <c r="L287" s="204"/>
    </row>
    <row r="288" spans="1:12" ht="3.75" customHeight="1">
      <c r="A288" s="199"/>
      <c r="B288" s="199"/>
      <c r="C288" s="199"/>
      <c r="D288" s="203"/>
      <c r="E288" s="203"/>
      <c r="F288" s="203"/>
      <c r="G288" s="204"/>
      <c r="H288" s="204"/>
      <c r="I288" s="204"/>
      <c r="J288" s="204"/>
      <c r="K288" s="203"/>
      <c r="L288" s="204"/>
    </row>
    <row r="289" spans="1:12" ht="15">
      <c r="A289" s="199"/>
      <c r="B289" s="313" t="s">
        <v>148</v>
      </c>
      <c r="C289" s="206"/>
      <c r="D289" s="203" t="s">
        <v>477</v>
      </c>
      <c r="E289" s="203"/>
      <c r="F289" s="203"/>
      <c r="G289" s="204"/>
      <c r="H289" s="204"/>
      <c r="I289" s="204"/>
      <c r="J289" s="204"/>
      <c r="K289" s="203"/>
      <c r="L289" s="204"/>
    </row>
    <row r="290" spans="1:12" ht="15">
      <c r="A290" s="199"/>
      <c r="B290" s="313"/>
      <c r="C290" s="263"/>
      <c r="D290" s="203" t="s">
        <v>369</v>
      </c>
      <c r="E290" s="203"/>
      <c r="F290" s="203"/>
      <c r="G290" s="203"/>
      <c r="H290" s="203"/>
      <c r="I290" s="203"/>
      <c r="J290" s="203"/>
      <c r="K290" s="203"/>
      <c r="L290" s="203"/>
    </row>
    <row r="291" spans="1:12" ht="15">
      <c r="A291" s="199"/>
      <c r="B291" s="198"/>
      <c r="C291" s="199"/>
      <c r="D291" s="199" t="s">
        <v>370</v>
      </c>
      <c r="E291" s="227"/>
      <c r="F291" s="227"/>
      <c r="G291" s="203"/>
      <c r="H291" s="203"/>
      <c r="I291" s="203"/>
      <c r="J291" s="203"/>
      <c r="K291" s="203"/>
      <c r="L291" s="203"/>
    </row>
    <row r="292" spans="1:12" ht="15">
      <c r="A292" s="199"/>
      <c r="B292" s="198"/>
      <c r="C292" s="199"/>
      <c r="D292" s="203" t="s">
        <v>478</v>
      </c>
      <c r="E292" s="203"/>
      <c r="F292" s="203"/>
      <c r="G292" s="203"/>
      <c r="H292" s="203"/>
      <c r="I292" s="203"/>
      <c r="J292" s="203"/>
      <c r="K292" s="203"/>
      <c r="L292" s="203"/>
    </row>
    <row r="293" spans="1:12" ht="15">
      <c r="A293" s="199"/>
      <c r="B293" s="205"/>
      <c r="C293" s="206"/>
      <c r="D293" s="203" t="s">
        <v>479</v>
      </c>
      <c r="E293" s="203"/>
      <c r="F293" s="203"/>
      <c r="G293" s="203"/>
      <c r="H293" s="203"/>
      <c r="I293" s="203"/>
      <c r="J293" s="203"/>
      <c r="K293" s="203"/>
      <c r="L293" s="203"/>
    </row>
    <row r="294" spans="1:12" ht="15">
      <c r="A294" s="199"/>
      <c r="B294" s="205"/>
      <c r="C294" s="206"/>
      <c r="D294" s="203" t="s">
        <v>371</v>
      </c>
      <c r="E294" s="203"/>
      <c r="F294" s="203"/>
      <c r="G294" s="203"/>
      <c r="H294" s="203"/>
      <c r="I294" s="203"/>
      <c r="J294" s="203"/>
      <c r="K294" s="203"/>
      <c r="L294" s="203"/>
    </row>
    <row r="295" spans="1:12" ht="15">
      <c r="A295" s="199"/>
      <c r="B295" s="205"/>
      <c r="C295" s="206"/>
      <c r="D295" s="203" t="s">
        <v>372</v>
      </c>
      <c r="E295" s="203"/>
      <c r="F295" s="203"/>
      <c r="G295" s="203"/>
      <c r="H295" s="203"/>
      <c r="I295" s="203"/>
      <c r="J295" s="203"/>
      <c r="K295" s="203"/>
      <c r="L295" s="203"/>
    </row>
    <row r="296" spans="1:12" ht="45" customHeight="1">
      <c r="A296" s="199"/>
      <c r="B296" s="205"/>
      <c r="C296" s="206"/>
      <c r="D296" s="1230" t="s">
        <v>575</v>
      </c>
      <c r="E296" s="1230"/>
      <c r="F296" s="1230"/>
      <c r="G296" s="1230"/>
      <c r="H296" s="1230"/>
      <c r="I296" s="1230"/>
      <c r="J296" s="1230"/>
      <c r="K296" s="1230"/>
      <c r="L296" s="1230"/>
    </row>
    <row r="297" spans="1:12" ht="15">
      <c r="A297" s="199"/>
      <c r="B297" s="205"/>
      <c r="C297" s="206"/>
      <c r="D297" s="203" t="s">
        <v>487</v>
      </c>
      <c r="E297" s="203"/>
      <c r="F297" s="203"/>
      <c r="G297" s="203"/>
      <c r="H297" s="203"/>
      <c r="I297" s="203"/>
      <c r="J297" s="203"/>
      <c r="K297" s="203"/>
      <c r="L297" s="203"/>
    </row>
    <row r="298" spans="1:12" ht="15">
      <c r="A298" s="199"/>
      <c r="B298" s="205"/>
      <c r="C298" s="206"/>
      <c r="D298" s="2"/>
      <c r="E298" s="203"/>
      <c r="F298" s="203"/>
      <c r="G298" s="203"/>
      <c r="H298" s="203"/>
      <c r="I298" s="203"/>
      <c r="J298" s="203"/>
      <c r="K298" s="203"/>
      <c r="L298" s="203"/>
    </row>
    <row r="299" spans="1:12" ht="15" customHeight="1">
      <c r="A299" s="199"/>
      <c r="B299" s="205" t="s">
        <v>149</v>
      </c>
      <c r="C299" s="206"/>
      <c r="D299" s="1231" t="s">
        <v>594</v>
      </c>
      <c r="E299" s="1220"/>
      <c r="F299" s="1220"/>
      <c r="G299" s="1220"/>
      <c r="H299" s="1220"/>
      <c r="I299" s="1220"/>
      <c r="J299" s="1220"/>
      <c r="K299" s="1220"/>
      <c r="L299" s="203"/>
    </row>
    <row r="300" spans="1:12" ht="15">
      <c r="A300" s="199"/>
      <c r="B300" s="205"/>
      <c r="C300" s="206"/>
      <c r="D300" s="1220"/>
      <c r="E300" s="1220"/>
      <c r="F300" s="1220"/>
      <c r="G300" s="1220"/>
      <c r="H300" s="1220"/>
      <c r="I300" s="1220"/>
      <c r="J300" s="1220"/>
      <c r="K300" s="1220"/>
      <c r="L300" s="203"/>
    </row>
    <row r="301" spans="1:12" ht="15">
      <c r="A301" s="199"/>
      <c r="B301" s="198"/>
      <c r="C301" s="199"/>
      <c r="D301" s="199"/>
      <c r="E301" s="203"/>
      <c r="F301" s="203"/>
      <c r="G301" s="203"/>
      <c r="H301" s="203"/>
      <c r="I301" s="203"/>
      <c r="J301" s="203"/>
      <c r="K301" s="203"/>
      <c r="L301" s="203"/>
    </row>
    <row r="302" spans="1:12" ht="15">
      <c r="A302" s="199"/>
      <c r="B302" s="205" t="s">
        <v>150</v>
      </c>
      <c r="C302" s="206"/>
      <c r="D302" s="2" t="s">
        <v>860</v>
      </c>
      <c r="E302" s="203"/>
      <c r="F302" s="203"/>
      <c r="G302" s="203"/>
      <c r="H302" s="203"/>
      <c r="I302" s="203"/>
      <c r="J302" s="203"/>
      <c r="K302" s="203"/>
      <c r="L302" s="203"/>
    </row>
    <row r="303" spans="1:12" ht="15">
      <c r="A303" s="199"/>
      <c r="B303" s="205"/>
      <c r="C303" s="206"/>
      <c r="D303" s="2"/>
      <c r="E303" s="203"/>
      <c r="F303" s="203"/>
      <c r="G303" s="203"/>
      <c r="H303" s="203"/>
      <c r="I303" s="203"/>
      <c r="J303" s="203"/>
      <c r="K303" s="203"/>
      <c r="L303" s="203"/>
    </row>
    <row r="304" spans="1:12" ht="15">
      <c r="A304" s="199"/>
      <c r="B304" s="205" t="s">
        <v>151</v>
      </c>
      <c r="C304" s="206"/>
      <c r="D304" s="1230" t="s">
        <v>577</v>
      </c>
      <c r="E304" s="1230"/>
      <c r="F304" s="1230"/>
      <c r="G304" s="1230"/>
      <c r="H304" s="1230"/>
      <c r="I304" s="1230"/>
      <c r="J304" s="1230"/>
      <c r="K304" s="1230"/>
      <c r="L304" s="1230"/>
    </row>
    <row r="305" spans="1:12" ht="15">
      <c r="A305" s="199"/>
      <c r="B305" s="205"/>
      <c r="C305" s="206"/>
      <c r="D305" s="1230"/>
      <c r="E305" s="1230"/>
      <c r="F305" s="1230"/>
      <c r="G305" s="1230"/>
      <c r="H305" s="1230"/>
      <c r="I305" s="1230"/>
      <c r="J305" s="1230"/>
      <c r="K305" s="1230"/>
      <c r="L305" s="1230"/>
    </row>
    <row r="306" spans="1:12" ht="15">
      <c r="A306" s="199"/>
      <c r="B306" s="205"/>
      <c r="C306" s="206"/>
      <c r="D306" s="203" t="s">
        <v>578</v>
      </c>
      <c r="E306" s="203"/>
      <c r="F306" s="203"/>
      <c r="G306" s="203"/>
      <c r="H306" s="203"/>
      <c r="I306" s="203"/>
      <c r="J306" s="203"/>
      <c r="K306" s="203"/>
      <c r="L306" s="203"/>
    </row>
    <row r="307" spans="1:12" ht="15">
      <c r="A307" s="199"/>
      <c r="B307" s="205"/>
      <c r="C307" s="206"/>
      <c r="D307" s="203" t="s">
        <v>579</v>
      </c>
      <c r="E307" s="203"/>
      <c r="F307" s="203"/>
      <c r="G307" s="203"/>
      <c r="H307" s="203"/>
      <c r="I307" s="203"/>
      <c r="J307" s="203"/>
      <c r="K307" s="203"/>
      <c r="L307" s="203"/>
    </row>
    <row r="308" spans="1:12" ht="30" customHeight="1">
      <c r="A308" s="199"/>
      <c r="B308" s="205"/>
      <c r="C308" s="206"/>
      <c r="D308" s="1230" t="s">
        <v>576</v>
      </c>
      <c r="E308" s="1230"/>
      <c r="F308" s="1230"/>
      <c r="G308" s="1230"/>
      <c r="H308" s="1230"/>
      <c r="I308" s="1230"/>
      <c r="J308" s="1230"/>
      <c r="K308" s="1230"/>
      <c r="L308" s="1230"/>
    </row>
    <row r="309" spans="1:12" ht="21.75" customHeight="1">
      <c r="A309" s="199"/>
      <c r="B309" s="205" t="s">
        <v>152</v>
      </c>
      <c r="C309" s="203"/>
      <c r="D309" s="203" t="str">
        <f>"Cash Working Capital assigned to transmission is one-eighth of O&amp;M allocated to transmission, as shown on line "&amp;B155&amp;". It excludes:"</f>
        <v>Cash Working Capital assigned to transmission is one-eighth of O&amp;M allocated to transmission, as shown on line 78. It excludes:</v>
      </c>
      <c r="E309" s="4"/>
      <c r="F309" s="4"/>
      <c r="G309" s="4"/>
      <c r="H309" s="4"/>
      <c r="I309" s="4"/>
      <c r="J309" s="4"/>
      <c r="K309" s="4"/>
      <c r="L309" s="4"/>
    </row>
    <row r="310" spans="1:12" ht="15">
      <c r="A310" s="199"/>
      <c r="B310" s="205"/>
      <c r="C310" s="203"/>
      <c r="D310" s="314" t="str">
        <f>+"1)  Load Scheduling &amp; Dispatch Charges in account 561 that are collected in the OATT Ancillary Services Revenue, as shown on line "&amp;B152&amp;"."</f>
        <v>1)  Load Scheduling &amp; Dispatch Charges in account 561 that are collected in the OATT Ancillary Services Revenue, as shown on line 75.</v>
      </c>
      <c r="E310" s="155"/>
      <c r="F310" s="155"/>
      <c r="G310" s="155"/>
      <c r="H310" s="155"/>
      <c r="I310" s="155"/>
      <c r="J310" s="155"/>
      <c r="K310" s="155"/>
      <c r="L310" s="155"/>
    </row>
    <row r="311" spans="1:12" ht="15">
      <c r="A311" s="199"/>
      <c r="B311" s="205"/>
      <c r="C311" s="203"/>
      <c r="D311" s="315" t="str">
        <f>+"2)  Costs of Transmission of Electricity by Others, as described in Note H."</f>
        <v>2)  Costs of Transmission of Electricity by Others, as described in Note H.</v>
      </c>
      <c r="E311" s="4"/>
      <c r="F311" s="4"/>
      <c r="G311" s="4"/>
      <c r="H311" s="4"/>
      <c r="I311" s="4"/>
      <c r="J311" s="4"/>
      <c r="K311" s="4"/>
      <c r="L311" s="4"/>
    </row>
    <row r="312" spans="1:12" ht="15">
      <c r="A312" s="199"/>
      <c r="B312" s="205"/>
      <c r="C312" s="203"/>
      <c r="D312" s="314" t="str">
        <f>+"3)  The impact of state regulatory deferrals and amortizations, as shown on line  "&amp;B154&amp;""</f>
        <v>3)  The impact of state regulatory deferrals and amortizations, as shown on line  77</v>
      </c>
      <c r="E312" s="155"/>
      <c r="F312" s="155"/>
      <c r="G312" s="155"/>
      <c r="H312" s="155"/>
      <c r="I312" s="155"/>
      <c r="J312" s="155"/>
      <c r="K312" s="155"/>
      <c r="L312" s="155"/>
    </row>
    <row r="313" spans="1:12" ht="15">
      <c r="A313" s="199"/>
      <c r="B313" s="205"/>
      <c r="C313" s="155"/>
      <c r="D313" s="315" t="str">
        <f>"4) All A&amp;G Expenses, as shown on line "&amp;B172&amp;"."</f>
        <v>4) All A&amp;G Expenses, as shown on line 93.</v>
      </c>
      <c r="E313" s="4"/>
      <c r="F313" s="4"/>
      <c r="G313" s="4"/>
      <c r="H313" s="4"/>
      <c r="I313" s="4"/>
      <c r="J313" s="4"/>
      <c r="K313" s="4"/>
      <c r="L313" s="4"/>
    </row>
    <row r="314" spans="1:12" ht="15">
      <c r="A314" s="199"/>
      <c r="B314" s="205"/>
      <c r="C314" s="206"/>
      <c r="D314" s="314"/>
      <c r="E314" s="314"/>
      <c r="F314" s="314"/>
      <c r="G314" s="314"/>
      <c r="H314" s="314"/>
      <c r="I314" s="314"/>
      <c r="J314" s="314"/>
      <c r="K314" s="314"/>
      <c r="L314" s="314"/>
    </row>
    <row r="315" spans="1:12" ht="15">
      <c r="A315" s="199"/>
      <c r="B315" s="313" t="s">
        <v>153</v>
      </c>
      <c r="C315" s="263"/>
      <c r="D315" s="316" t="str">
        <f>"Consistent with Paragraph 657 of Order 2003-A, the amount on line "&amp;B129&amp;" is equal to the balance of IPP System Upgrade Credits owed to transmission customers that"</f>
        <v>Consistent with Paragraph 657 of Order 2003-A, the amount on line 67 is equal to the balance of IPP System Upgrade Credits owed to transmission customers that</v>
      </c>
      <c r="E315" s="316"/>
      <c r="F315" s="316"/>
      <c r="G315" s="316"/>
      <c r="H315" s="316"/>
      <c r="I315" s="316"/>
      <c r="J315" s="316"/>
      <c r="K315" s="316"/>
      <c r="L315" s="316"/>
    </row>
    <row r="316" spans="1:12" ht="15">
      <c r="A316" s="199"/>
      <c r="B316" s="198"/>
      <c r="C316" s="199"/>
      <c r="D316" s="316" t="s">
        <v>218</v>
      </c>
      <c r="E316" s="316"/>
      <c r="F316" s="316"/>
      <c r="G316" s="316"/>
      <c r="H316" s="316"/>
      <c r="I316" s="316"/>
      <c r="J316" s="316"/>
      <c r="K316" s="316"/>
      <c r="L316" s="316"/>
    </row>
    <row r="317" spans="1:12" ht="15">
      <c r="A317" s="199"/>
      <c r="B317" s="198"/>
      <c r="C317" s="199"/>
      <c r="D317" s="316" t="str">
        <f>"expense is included on line "&amp;B215&amp;"."</f>
        <v>expense is included on line 127.</v>
      </c>
      <c r="E317" s="316"/>
      <c r="F317" s="316"/>
      <c r="G317" s="316"/>
      <c r="H317" s="316"/>
      <c r="I317" s="316"/>
      <c r="J317" s="316"/>
      <c r="K317" s="316"/>
      <c r="L317" s="316"/>
    </row>
    <row r="318" spans="1:12" ht="15">
      <c r="A318" s="199"/>
      <c r="B318" s="198"/>
      <c r="C318" s="199"/>
      <c r="D318" s="316"/>
      <c r="E318" s="316"/>
      <c r="F318" s="316"/>
      <c r="G318" s="316"/>
      <c r="H318" s="316"/>
      <c r="I318" s="316"/>
      <c r="J318" s="316"/>
      <c r="K318" s="316"/>
      <c r="L318" s="316"/>
    </row>
    <row r="319" spans="1:12" ht="15">
      <c r="A319" s="199"/>
      <c r="B319" s="313" t="s">
        <v>154</v>
      </c>
      <c r="C319" s="199"/>
      <c r="D319" s="1222" t="str">
        <f>"Removes from the cost of service the Load Scheduling and Dispatch expenses booked to accounts 561.1 through 561.8.  Expenses recorded in these accounts, with the exception of 561.4 &amp; 561.8 (lines "&amp;B45&amp;" &amp; "&amp;B46&amp;"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19" s="1222"/>
      <c r="F319" s="1222"/>
      <c r="G319" s="1222"/>
      <c r="H319" s="1222"/>
      <c r="I319" s="1222"/>
      <c r="J319" s="1222"/>
      <c r="K319" s="1222"/>
      <c r="L319" s="316"/>
    </row>
    <row r="320" spans="1:12" ht="15">
      <c r="A320" s="199"/>
      <c r="B320" s="313"/>
      <c r="C320" s="199"/>
      <c r="D320" s="1222"/>
      <c r="E320" s="1222"/>
      <c r="F320" s="1222"/>
      <c r="G320" s="1222"/>
      <c r="H320" s="1222"/>
      <c r="I320" s="1222"/>
      <c r="J320" s="1222"/>
      <c r="K320" s="1222"/>
      <c r="L320" s="316"/>
    </row>
    <row r="321" spans="1:12" ht="15">
      <c r="A321" s="199"/>
      <c r="B321" s="313"/>
      <c r="C321" s="199"/>
      <c r="D321" s="1222"/>
      <c r="E321" s="1222"/>
      <c r="F321" s="1222"/>
      <c r="G321" s="1222"/>
      <c r="H321" s="1222"/>
      <c r="I321" s="1222"/>
      <c r="J321" s="1222"/>
      <c r="K321" s="1222"/>
      <c r="L321" s="316"/>
    </row>
    <row r="322" spans="1:12" ht="15">
      <c r="A322" s="199"/>
      <c r="B322" s="313"/>
      <c r="C322" s="199"/>
      <c r="D322" s="314"/>
      <c r="E322" s="316"/>
      <c r="F322" s="316"/>
      <c r="G322" s="316"/>
      <c r="H322" s="316"/>
      <c r="I322" s="316"/>
      <c r="J322" s="316"/>
      <c r="K322" s="316"/>
      <c r="L322" s="316"/>
    </row>
    <row r="323" spans="1:12" ht="15">
      <c r="A323" s="199"/>
      <c r="B323" s="313" t="s">
        <v>155</v>
      </c>
      <c r="C323" s="199"/>
      <c r="D323" s="1216" t="str">
        <f>"Removes cost of transmission service provided by others to determine the basis of cash working capital on line "&amp;B155&amp;". To the extent such service is incurred to provide the PJM service at issue, e.g. lease payments to affiliates, such cost is added back on line "&amp;B175&amp;" to determine the total O&amp;M collected in the formula.  The amounts on line "&amp;B175&amp;" is also excluded in the calculation of the FCR percentage calculated on lines "&amp;B29&amp;" through "&amp;B37&amp;"."</f>
        <v>Removes cost of transmission service provided by others to determine the basis of cash working capital on line 78. To the extent such service is incurred to provide the PJM service at issue, e.g. lease payments to affiliates, such cost is added back on line 95 to determine the total O&amp;M collected in the formula.  The amounts on line 95 is also excluded in the calculation of the FCR percentage calculated on lines 6 through 12.</v>
      </c>
      <c r="E323" s="1216"/>
      <c r="F323" s="1216"/>
      <c r="G323" s="1216"/>
      <c r="H323" s="1216"/>
      <c r="I323" s="1216"/>
      <c r="J323" s="1216"/>
      <c r="K323" s="1216"/>
      <c r="L323" s="316"/>
    </row>
    <row r="324" spans="1:12" ht="15">
      <c r="A324" s="199"/>
      <c r="B324" s="313"/>
      <c r="C324" s="199"/>
      <c r="D324" s="1216"/>
      <c r="E324" s="1216"/>
      <c r="F324" s="1216"/>
      <c r="G324" s="1216"/>
      <c r="H324" s="1216"/>
      <c r="I324" s="1216"/>
      <c r="J324" s="1216"/>
      <c r="K324" s="1216"/>
      <c r="L324" s="316"/>
    </row>
    <row r="325" spans="1:12" ht="15">
      <c r="A325" s="199"/>
      <c r="B325" s="313"/>
      <c r="C325" s="199"/>
      <c r="D325" s="1217"/>
      <c r="E325" s="1217"/>
      <c r="F325" s="1217"/>
      <c r="G325" s="1217"/>
      <c r="H325" s="1217"/>
      <c r="I325" s="1217"/>
      <c r="J325" s="1217"/>
      <c r="K325" s="1217"/>
      <c r="L325" s="316"/>
    </row>
    <row r="326" spans="1:12" ht="15">
      <c r="A326" s="199"/>
      <c r="B326" s="313"/>
      <c r="C326" s="199"/>
      <c r="D326" s="1226" t="str">
        <f>"The addbacks  on line "&amp;B175&amp;" of activity recorded in 565 represents inter-company sales or purchases of transmission capacity necessary to meet each AEP company's transmission load relative to their available transmission capacity."</f>
        <v>The addbacks  on line 95 of activity recorded in 565 represents inter-company sales or purchases of transmission capacity necessary to meet each AEP company's transmission load relative to their available transmission capacity.</v>
      </c>
      <c r="E326" s="1226"/>
      <c r="F326" s="1226"/>
      <c r="G326" s="1226"/>
      <c r="H326" s="1226"/>
      <c r="I326" s="1226"/>
      <c r="J326" s="1226"/>
      <c r="K326" s="317"/>
      <c r="L326" s="316"/>
    </row>
    <row r="327" spans="1:12" ht="15">
      <c r="A327" s="199"/>
      <c r="B327" s="313"/>
      <c r="C327" s="199"/>
      <c r="D327" s="1226"/>
      <c r="E327" s="1226"/>
      <c r="F327" s="1226"/>
      <c r="G327" s="1226"/>
      <c r="H327" s="1226"/>
      <c r="I327" s="1226"/>
      <c r="J327" s="1226"/>
      <c r="K327" s="317"/>
      <c r="L327" s="316"/>
    </row>
    <row r="328" spans="1:12" ht="15">
      <c r="A328" s="199"/>
      <c r="B328" s="313"/>
      <c r="C328" s="199"/>
      <c r="D328" s="316" t="str">
        <f>"The company records referenced on line "&amp;B175&amp;" is the "&amp;F9&amp;" general ledger."</f>
        <v>The company records referenced on line 95 is the Appalachian Power Company general ledger.</v>
      </c>
      <c r="E328" s="318"/>
      <c r="F328" s="318"/>
      <c r="G328" s="318"/>
      <c r="H328" s="318"/>
      <c r="I328" s="318"/>
      <c r="J328" s="318"/>
      <c r="K328" s="318"/>
      <c r="L328" s="316"/>
    </row>
    <row r="329" spans="1:12" ht="15">
      <c r="A329" s="199"/>
      <c r="B329" s="313"/>
      <c r="C329" s="199"/>
      <c r="D329" s="316"/>
      <c r="E329" s="318"/>
      <c r="F329" s="318"/>
      <c r="G329" s="318"/>
      <c r="H329" s="318"/>
      <c r="I329" s="318"/>
      <c r="J329" s="318"/>
      <c r="K329" s="318"/>
      <c r="L329" s="316"/>
    </row>
    <row r="330" spans="1:12" ht="15">
      <c r="A330" s="199"/>
      <c r="B330" s="313" t="s">
        <v>156</v>
      </c>
      <c r="C330" s="199"/>
      <c r="D330" s="199" t="s">
        <v>580</v>
      </c>
      <c r="E330" s="155"/>
      <c r="F330" s="155"/>
      <c r="G330" s="155"/>
      <c r="H330" s="155"/>
      <c r="I330" s="155"/>
      <c r="J330" s="155"/>
      <c r="K330" s="155"/>
      <c r="L330" s="319"/>
    </row>
    <row r="331" spans="1:12" ht="15">
      <c r="A331" s="199"/>
      <c r="B331" s="313"/>
      <c r="C331" s="199"/>
      <c r="D331" s="319"/>
      <c r="E331" s="319"/>
      <c r="F331" s="319"/>
      <c r="G331" s="319"/>
      <c r="H331" s="319"/>
      <c r="I331" s="319"/>
      <c r="J331" s="319"/>
      <c r="K331" s="319"/>
      <c r="L331" s="319"/>
    </row>
    <row r="332" spans="1:12" ht="15">
      <c r="A332" s="199"/>
      <c r="B332" s="313" t="s">
        <v>157</v>
      </c>
      <c r="C332" s="199"/>
      <c r="D332" s="1219" t="s">
        <v>48</v>
      </c>
      <c r="E332" s="1220"/>
      <c r="F332" s="1220"/>
      <c r="G332" s="1220"/>
      <c r="H332" s="1220"/>
      <c r="I332" s="1220"/>
      <c r="J332" s="1220"/>
      <c r="K332" s="316"/>
      <c r="L332" s="316"/>
    </row>
    <row r="333" spans="1:12" ht="15">
      <c r="A333" s="199"/>
      <c r="B333" s="313"/>
      <c r="C333" s="199"/>
      <c r="D333" s="1221"/>
      <c r="E333" s="1221"/>
      <c r="F333" s="1221"/>
      <c r="G333" s="1221"/>
      <c r="H333" s="1221"/>
      <c r="I333" s="1221"/>
      <c r="J333" s="1221"/>
      <c r="K333" s="319"/>
      <c r="L333" s="319"/>
    </row>
    <row r="334" spans="1:12" ht="15">
      <c r="A334" s="199"/>
      <c r="B334" s="313"/>
      <c r="C334" s="199"/>
      <c r="D334" s="1220"/>
      <c r="E334" s="1220"/>
      <c r="F334" s="1220"/>
      <c r="G334" s="1220"/>
      <c r="H334" s="1220"/>
      <c r="I334" s="1220"/>
      <c r="J334" s="1220"/>
      <c r="K334" s="316"/>
      <c r="L334" s="316"/>
    </row>
    <row r="335" spans="1:12" ht="15">
      <c r="A335" s="199"/>
      <c r="B335" s="313"/>
      <c r="C335" s="199"/>
      <c r="D335" s="316"/>
      <c r="E335" s="316"/>
      <c r="F335" s="316"/>
      <c r="G335" s="316"/>
      <c r="H335" s="316"/>
      <c r="I335" s="316"/>
      <c r="J335" s="316"/>
      <c r="K335" s="316"/>
      <c r="L335" s="316"/>
    </row>
    <row r="336" spans="1:12" ht="15.75">
      <c r="A336" s="199"/>
      <c r="B336" s="728" t="s">
        <v>158</v>
      </c>
      <c r="C336" s="729"/>
      <c r="D336" s="1224" t="s">
        <v>855</v>
      </c>
      <c r="E336" s="1225"/>
      <c r="F336" s="1225"/>
      <c r="G336" s="1225"/>
      <c r="H336" s="1225"/>
      <c r="I336" s="1225"/>
      <c r="J336" s="1225"/>
      <c r="K336" s="1225"/>
      <c r="L336" s="319"/>
    </row>
    <row r="337" spans="1:12" ht="15.75">
      <c r="A337" s="199"/>
      <c r="B337" s="702"/>
      <c r="C337" s="729"/>
      <c r="D337" s="1225"/>
      <c r="E337" s="1225"/>
      <c r="F337" s="1225"/>
      <c r="G337" s="1225"/>
      <c r="H337" s="1225"/>
      <c r="I337" s="1225"/>
      <c r="J337" s="1225"/>
      <c r="K337" s="1225"/>
      <c r="L337" s="316"/>
    </row>
    <row r="338" spans="1:12" ht="15">
      <c r="A338" s="199"/>
      <c r="B338" s="313"/>
      <c r="C338" s="199"/>
      <c r="D338" s="316"/>
      <c r="E338" s="316"/>
      <c r="F338" s="316"/>
      <c r="G338" s="316"/>
      <c r="H338" s="316"/>
      <c r="I338" s="316"/>
      <c r="J338" s="316"/>
      <c r="K338" s="316"/>
      <c r="L338" s="316"/>
    </row>
    <row r="339" spans="1:12" ht="15">
      <c r="A339" s="199"/>
      <c r="B339" s="205" t="s">
        <v>159</v>
      </c>
      <c r="C339" s="206"/>
      <c r="D339" s="1230" t="s">
        <v>581</v>
      </c>
      <c r="E339" s="1230"/>
      <c r="F339" s="1230"/>
      <c r="G339" s="1230"/>
      <c r="H339" s="1230"/>
      <c r="I339" s="1230"/>
      <c r="J339" s="1230"/>
      <c r="K339" s="1230"/>
      <c r="L339" s="1230"/>
    </row>
    <row r="340" spans="1:12" ht="15">
      <c r="A340" s="199"/>
      <c r="B340" s="205"/>
      <c r="C340" s="206"/>
      <c r="D340" s="1230"/>
      <c r="E340" s="1230"/>
      <c r="F340" s="1230"/>
      <c r="G340" s="1230"/>
      <c r="H340" s="1230"/>
      <c r="I340" s="1230"/>
      <c r="J340" s="1230"/>
      <c r="K340" s="1230"/>
      <c r="L340" s="1230"/>
    </row>
    <row r="341" spans="1:12" ht="15">
      <c r="A341" s="199"/>
      <c r="B341" s="205"/>
      <c r="C341" s="206"/>
      <c r="D341" s="1230"/>
      <c r="E341" s="1230"/>
      <c r="F341" s="1230"/>
      <c r="G341" s="1230"/>
      <c r="H341" s="1230"/>
      <c r="I341" s="1230"/>
      <c r="J341" s="1230"/>
      <c r="K341" s="1230"/>
      <c r="L341" s="1230"/>
    </row>
    <row r="342" spans="1:12" ht="15">
      <c r="A342" s="199"/>
      <c r="B342" s="205"/>
      <c r="C342" s="206"/>
      <c r="D342" s="1230"/>
      <c r="E342" s="1230"/>
      <c r="F342" s="1230"/>
      <c r="G342" s="1230"/>
      <c r="H342" s="1230"/>
      <c r="I342" s="1230"/>
      <c r="J342" s="1230"/>
      <c r="K342" s="1230"/>
      <c r="L342" s="1230"/>
    </row>
    <row r="343" spans="1:12" ht="15">
      <c r="A343" s="199"/>
      <c r="B343" s="205"/>
      <c r="C343" s="206"/>
      <c r="D343" s="316"/>
      <c r="E343" s="314"/>
      <c r="F343" s="314"/>
      <c r="G343" s="314"/>
      <c r="H343" s="314"/>
      <c r="I343" s="314"/>
      <c r="J343" s="314"/>
      <c r="K343" s="314"/>
      <c r="L343" s="314"/>
    </row>
    <row r="344" spans="1:12" ht="15" customHeight="1">
      <c r="A344" s="199"/>
      <c r="B344" s="205" t="s">
        <v>160</v>
      </c>
      <c r="C344" s="206"/>
      <c r="D344" s="1233" t="s">
        <v>853</v>
      </c>
      <c r="E344" s="1234"/>
      <c r="F344" s="1234"/>
      <c r="G344" s="1234"/>
      <c r="H344" s="1234"/>
      <c r="I344" s="1234"/>
      <c r="J344" s="1234"/>
      <c r="K344" s="1234"/>
      <c r="L344" s="1231"/>
    </row>
    <row r="345" spans="1:12" ht="15">
      <c r="A345" s="199"/>
      <c r="B345" s="205"/>
      <c r="C345" s="206"/>
      <c r="D345" s="1234"/>
      <c r="E345" s="1234"/>
      <c r="F345" s="1234"/>
      <c r="G345" s="1234"/>
      <c r="H345" s="1234"/>
      <c r="I345" s="1234"/>
      <c r="J345" s="1234"/>
      <c r="K345" s="1234"/>
      <c r="L345" s="1231"/>
    </row>
    <row r="346" spans="1:12" ht="15">
      <c r="A346" s="199"/>
      <c r="B346" s="205"/>
      <c r="C346" s="206"/>
      <c r="D346" s="1231"/>
      <c r="E346" s="1231"/>
      <c r="F346" s="1231"/>
      <c r="G346" s="1231"/>
      <c r="H346" s="1231"/>
      <c r="I346" s="1231"/>
      <c r="J346" s="1231"/>
      <c r="K346" s="1231"/>
      <c r="L346" s="1231"/>
    </row>
    <row r="347" spans="1:12" ht="15">
      <c r="A347" s="199"/>
      <c r="B347" s="205"/>
      <c r="C347" s="206"/>
      <c r="D347" s="271"/>
      <c r="E347" s="203"/>
      <c r="F347" s="203"/>
      <c r="G347" s="203"/>
      <c r="H347" s="203"/>
      <c r="I347" s="203"/>
      <c r="J347" s="203"/>
      <c r="K347" s="203"/>
      <c r="L347" s="203"/>
    </row>
    <row r="348" spans="1:12" ht="15">
      <c r="A348" s="199"/>
      <c r="B348" s="263" t="s">
        <v>245</v>
      </c>
      <c r="C348" s="206"/>
      <c r="D348" s="203" t="s">
        <v>355</v>
      </c>
      <c r="E348" s="2"/>
      <c r="F348" s="2"/>
      <c r="G348" s="2"/>
      <c r="H348" s="2"/>
      <c r="I348" s="2"/>
      <c r="J348" s="2"/>
      <c r="K348" s="199"/>
      <c r="L348" s="199"/>
    </row>
    <row r="349" spans="1:12" ht="15">
      <c r="A349" s="199"/>
      <c r="B349" s="263"/>
      <c r="C349" s="206"/>
      <c r="D349" s="2"/>
      <c r="E349" s="2"/>
      <c r="F349" s="2"/>
      <c r="G349" s="2"/>
      <c r="H349" s="2"/>
      <c r="I349" s="2"/>
      <c r="J349" s="2"/>
      <c r="K349" s="199"/>
      <c r="L349" s="199"/>
    </row>
    <row r="350" spans="1:12" ht="15">
      <c r="A350" s="199"/>
      <c r="B350" s="205" t="s">
        <v>304</v>
      </c>
      <c r="C350" s="206"/>
      <c r="D350" s="203" t="s">
        <v>344</v>
      </c>
      <c r="E350" s="199"/>
      <c r="F350" s="199"/>
      <c r="G350" s="199"/>
      <c r="H350" s="199"/>
      <c r="I350" s="199"/>
      <c r="J350" s="199"/>
      <c r="K350" s="199"/>
      <c r="L350" s="199"/>
    </row>
    <row r="351" spans="1:12" ht="15">
      <c r="A351" s="199"/>
      <c r="B351" s="263"/>
      <c r="C351" s="206"/>
      <c r="D351" s="203" t="s">
        <v>233</v>
      </c>
      <c r="E351" s="199"/>
      <c r="F351" s="199"/>
      <c r="G351" s="199"/>
      <c r="H351" s="199"/>
      <c r="I351" s="199"/>
      <c r="J351" s="199"/>
      <c r="K351" s="199"/>
      <c r="L351" s="199"/>
    </row>
    <row r="352" spans="1:12" ht="15">
      <c r="A352" s="199"/>
      <c r="B352" s="263"/>
      <c r="C352" s="206"/>
      <c r="D352" s="203" t="s">
        <v>234</v>
      </c>
      <c r="E352" s="199"/>
      <c r="F352" s="199"/>
      <c r="G352" s="199"/>
      <c r="H352" s="199"/>
      <c r="I352" s="199"/>
      <c r="J352" s="199"/>
      <c r="K352" s="199"/>
      <c r="L352" s="199"/>
    </row>
    <row r="353" spans="1:12" ht="15">
      <c r="A353" s="199"/>
      <c r="B353" s="263"/>
      <c r="C353" s="206"/>
      <c r="D353" s="203" t="s">
        <v>235</v>
      </c>
      <c r="E353" s="199"/>
      <c r="F353" s="199"/>
      <c r="G353" s="199"/>
      <c r="H353" s="199"/>
      <c r="I353" s="199"/>
      <c r="J353" s="199"/>
      <c r="K353" s="199"/>
      <c r="L353" s="199"/>
    </row>
    <row r="354" spans="1:12" ht="15">
      <c r="A354" s="199"/>
      <c r="B354" s="205"/>
      <c r="C354" s="206"/>
      <c r="D354" s="203" t="str">
        <f>"(ln "&amp;B202&amp;") multiplied by (1/1-T) .  If the applicable tax rates are zero enter 0."</f>
        <v>(ln 118) multiplied by (1/1-T) .  If the applicable tax rates are zero enter 0.</v>
      </c>
      <c r="E354" s="199"/>
      <c r="F354" s="199"/>
      <c r="G354" s="199"/>
      <c r="H354" s="199"/>
      <c r="I354" s="199"/>
      <c r="J354" s="199"/>
      <c r="K354" s="199"/>
      <c r="L354" s="199"/>
    </row>
    <row r="355" spans="1:12" ht="15">
      <c r="A355" s="199"/>
      <c r="B355" s="320"/>
      <c r="C355" s="203"/>
      <c r="D355" s="203" t="s">
        <v>345</v>
      </c>
      <c r="E355" s="203" t="s">
        <v>346</v>
      </c>
      <c r="F355" s="891">
        <v>0.21</v>
      </c>
      <c r="G355" s="203"/>
      <c r="H355" s="199"/>
      <c r="I355" s="199"/>
      <c r="J355" s="199"/>
      <c r="K355" s="199"/>
      <c r="L355" s="199"/>
    </row>
    <row r="356" spans="1:12" ht="15">
      <c r="A356" s="199"/>
      <c r="B356" s="320"/>
      <c r="C356" s="203"/>
      <c r="D356" s="203"/>
      <c r="E356" s="203" t="s">
        <v>347</v>
      </c>
      <c r="F356" s="227">
        <f>'WS G  State Tax Rate'!F43</f>
        <v>2.8572E-2</v>
      </c>
      <c r="G356" s="203" t="s">
        <v>505</v>
      </c>
      <c r="H356" s="199"/>
      <c r="I356" s="199"/>
      <c r="J356" s="199"/>
      <c r="K356" s="199"/>
      <c r="L356" s="199"/>
    </row>
    <row r="357" spans="1:12" ht="15">
      <c r="A357" s="199"/>
      <c r="B357" s="320"/>
      <c r="C357" s="203"/>
      <c r="D357" s="203"/>
      <c r="E357" s="203" t="s">
        <v>348</v>
      </c>
      <c r="F357" s="891">
        <v>0</v>
      </c>
      <c r="G357" s="203" t="s">
        <v>349</v>
      </c>
      <c r="H357" s="199"/>
      <c r="I357" s="199"/>
      <c r="J357" s="199"/>
      <c r="K357" s="199"/>
      <c r="L357" s="199"/>
    </row>
    <row r="358" spans="1:12" ht="15">
      <c r="A358" s="199"/>
      <c r="B358" s="263"/>
      <c r="C358" s="206"/>
      <c r="D358" s="203" t="s">
        <v>592</v>
      </c>
      <c r="E358" s="199"/>
      <c r="F358" s="199"/>
      <c r="G358" s="199"/>
      <c r="H358" s="199"/>
      <c r="I358" s="199"/>
      <c r="J358" s="199"/>
      <c r="K358" s="199"/>
      <c r="L358" s="199"/>
    </row>
    <row r="359" spans="1:12" ht="15">
      <c r="A359" s="199"/>
      <c r="B359" s="263"/>
      <c r="C359" s="206"/>
      <c r="D359" s="203" t="s">
        <v>593</v>
      </c>
      <c r="E359" s="199"/>
      <c r="F359" s="199"/>
      <c r="G359" s="199"/>
      <c r="H359" s="199"/>
      <c r="I359" s="199"/>
      <c r="J359" s="199"/>
      <c r="K359" s="199"/>
      <c r="L359" s="199"/>
    </row>
    <row r="360" spans="1:12" ht="15">
      <c r="A360" s="199"/>
      <c r="B360" s="205" t="s">
        <v>350</v>
      </c>
      <c r="C360" s="206"/>
      <c r="D360" s="203" t="s">
        <v>224</v>
      </c>
      <c r="E360" s="199"/>
      <c r="F360" s="199"/>
      <c r="G360" s="199"/>
      <c r="H360" s="199"/>
      <c r="I360" s="199"/>
      <c r="J360" s="199"/>
      <c r="K360" s="199"/>
      <c r="L360" s="199"/>
    </row>
    <row r="361" spans="1:12" ht="15">
      <c r="A361" s="199"/>
      <c r="B361" s="199"/>
      <c r="C361" s="199"/>
      <c r="D361" s="203"/>
      <c r="E361" s="199"/>
      <c r="F361" s="199"/>
      <c r="G361" s="199"/>
      <c r="H361" s="199"/>
      <c r="I361" s="199"/>
      <c r="J361" s="199"/>
      <c r="K361" s="199"/>
      <c r="L361" s="199"/>
    </row>
    <row r="362" spans="1:12" ht="15">
      <c r="A362" s="199"/>
      <c r="B362" s="205" t="s">
        <v>351</v>
      </c>
      <c r="C362" s="206"/>
      <c r="D362" s="203" t="s">
        <v>22</v>
      </c>
      <c r="E362" s="199"/>
      <c r="F362" s="199"/>
      <c r="G362" s="199"/>
      <c r="H362" s="199"/>
      <c r="I362" s="199"/>
      <c r="J362" s="199"/>
      <c r="K362" s="199"/>
      <c r="L362" s="199"/>
    </row>
    <row r="363" spans="1:12" ht="15">
      <c r="A363" s="199"/>
      <c r="B363" s="205"/>
      <c r="C363" s="206"/>
      <c r="D363" s="203"/>
      <c r="E363" s="203"/>
      <c r="F363" s="203"/>
      <c r="G363" s="203"/>
      <c r="H363" s="203"/>
      <c r="I363" s="203"/>
      <c r="J363" s="203"/>
      <c r="K363" s="203"/>
      <c r="L363" s="203"/>
    </row>
    <row r="364" spans="1:12" ht="15">
      <c r="A364" s="199"/>
      <c r="B364" s="205" t="s">
        <v>352</v>
      </c>
      <c r="C364" s="206"/>
      <c r="D364" s="203" t="s">
        <v>415</v>
      </c>
      <c r="E364" s="203"/>
      <c r="F364" s="203"/>
      <c r="G364" s="203"/>
      <c r="H364" s="203"/>
      <c r="I364" s="203"/>
      <c r="J364" s="203"/>
      <c r="K364" s="203"/>
      <c r="L364" s="203"/>
    </row>
    <row r="365" spans="1:12" ht="15">
      <c r="A365" s="199"/>
      <c r="B365" s="205"/>
      <c r="C365" s="206"/>
      <c r="D365" s="203"/>
      <c r="E365" s="203"/>
      <c r="F365" s="203"/>
      <c r="G365" s="203"/>
      <c r="H365" s="203"/>
      <c r="I365" s="203"/>
      <c r="J365" s="203"/>
      <c r="K365" s="203"/>
      <c r="L365" s="203"/>
    </row>
    <row r="366" spans="1:12" ht="15">
      <c r="A366" s="199"/>
      <c r="B366" s="313" t="s">
        <v>353</v>
      </c>
      <c r="C366" s="263"/>
      <c r="D366" s="203" t="str">
        <f>"Long Term Debt cost rate = Long-Term Interest (ln "&amp;B261&amp;") /  Long-Term Debt (ln "&amp;B271&amp;").  Preferred Stock cost rate = preferred dividends (ln "&amp;B262&amp;") / preferred outstanding (ln "&amp;B272&amp;")."</f>
        <v>Long Term Debt cost rate = Long-Term Interest (ln 145) /  Long-Term Debt (ln 154).  Preferred Stock cost rate = preferred dividends (ln 146) / preferred outstanding (ln 155).</v>
      </c>
      <c r="E366" s="199"/>
      <c r="F366" s="199"/>
      <c r="G366" s="199"/>
      <c r="H366" s="199"/>
      <c r="I366" s="199"/>
      <c r="J366" s="199"/>
      <c r="K366" s="199"/>
      <c r="L366" s="199"/>
    </row>
    <row r="367" spans="1:12" ht="15">
      <c r="A367" s="199"/>
      <c r="B367" s="198"/>
      <c r="C367" s="199"/>
      <c r="D367" s="203" t="str">
        <f>"Common Stock cost rate (ROE) = "&amp;J273*100&amp;"%, the rate accepted by FERC in Docket No. ER08-1329.  It includes an additional 50 basis points for PJM RTO Membership."</f>
        <v>Common Stock cost rate (ROE) = 10.35%, the rate accepted by FERC in Docket No. ER08-1329.  It includes an additional 50 basis points for PJM RTO Membership.</v>
      </c>
      <c r="E367" s="199"/>
      <c r="F367" s="199"/>
      <c r="G367" s="199"/>
      <c r="H367" s="199"/>
      <c r="I367" s="199"/>
      <c r="J367" s="199"/>
      <c r="K367" s="199"/>
      <c r="L367" s="199"/>
    </row>
    <row r="368" spans="1:12" ht="15" customHeight="1">
      <c r="A368" s="199"/>
      <c r="B368" s="198"/>
      <c r="C368" s="199"/>
      <c r="D368" s="1232" t="s">
        <v>582</v>
      </c>
      <c r="E368" s="1232"/>
      <c r="F368" s="1232"/>
      <c r="G368" s="1232"/>
      <c r="H368" s="1232"/>
      <c r="I368" s="1232"/>
      <c r="J368" s="1232"/>
      <c r="K368" s="1232"/>
      <c r="L368" s="1232"/>
    </row>
    <row r="369" spans="1:12" ht="15">
      <c r="A369" s="199"/>
      <c r="B369" s="198"/>
      <c r="C369" s="199"/>
      <c r="D369" s="1232"/>
      <c r="E369" s="1232"/>
      <c r="F369" s="1232"/>
      <c r="G369" s="1232"/>
      <c r="H369" s="1232"/>
      <c r="I369" s="1232"/>
      <c r="J369" s="1232"/>
      <c r="K369" s="1232"/>
      <c r="L369" s="1232"/>
    </row>
    <row r="370" spans="1:12" ht="14.25" customHeight="1">
      <c r="A370" s="199"/>
      <c r="B370" s="198"/>
      <c r="C370" s="199"/>
      <c r="D370" s="1232"/>
      <c r="E370" s="1232"/>
      <c r="F370" s="1232"/>
      <c r="G370" s="1232"/>
      <c r="H370" s="1232"/>
      <c r="I370" s="1232"/>
      <c r="J370" s="1232"/>
      <c r="K370" s="1232"/>
      <c r="L370" s="1232"/>
    </row>
    <row r="371" spans="1:12" ht="15" hidden="1" customHeight="1">
      <c r="A371" s="199"/>
      <c r="B371" s="198"/>
      <c r="C371" s="199"/>
      <c r="D371" s="1232"/>
      <c r="E371" s="1232"/>
      <c r="F371" s="1232"/>
      <c r="G371" s="1232"/>
      <c r="H371" s="1232"/>
      <c r="I371" s="1232"/>
      <c r="J371" s="1232"/>
      <c r="K371" s="1232"/>
      <c r="L371" s="1232"/>
    </row>
    <row r="372" spans="1:12" ht="15" hidden="1" customHeight="1">
      <c r="A372" s="199"/>
      <c r="B372" s="198"/>
      <c r="C372" s="199"/>
      <c r="D372" s="1232"/>
      <c r="E372" s="1232"/>
      <c r="F372" s="1232"/>
      <c r="G372" s="1232"/>
      <c r="H372" s="1232"/>
      <c r="I372" s="1232"/>
      <c r="J372" s="1232"/>
      <c r="K372" s="1232"/>
      <c r="L372" s="1232"/>
    </row>
    <row r="373" spans="1:12" ht="15" hidden="1" customHeight="1">
      <c r="A373" s="199"/>
      <c r="B373" s="198"/>
      <c r="C373" s="199"/>
      <c r="D373" s="1232"/>
      <c r="E373" s="1232"/>
      <c r="F373" s="1232"/>
      <c r="G373" s="1232"/>
      <c r="H373" s="1232"/>
      <c r="I373" s="1232"/>
      <c r="J373" s="1232"/>
      <c r="K373" s="1232"/>
      <c r="L373" s="1232"/>
    </row>
    <row r="374" spans="1:12" ht="15">
      <c r="A374" s="199"/>
      <c r="B374" s="205" t="s">
        <v>426</v>
      </c>
      <c r="C374" s="206"/>
      <c r="D374" s="316" t="s">
        <v>34</v>
      </c>
      <c r="E374" s="316"/>
      <c r="F374" s="316"/>
      <c r="G374" s="316"/>
      <c r="H374" s="316"/>
      <c r="I374" s="316"/>
      <c r="J374" s="316"/>
      <c r="K374" s="199"/>
      <c r="L374" s="199"/>
    </row>
    <row r="375" spans="1:12" ht="15">
      <c r="A375" s="199"/>
      <c r="B375" s="205"/>
      <c r="C375" s="206"/>
      <c r="D375" s="316" t="str">
        <f>"This total balance of $265,249,280 at 12/31/12 is not included in the balance in line "&amp;B271&amp;" above."</f>
        <v>This total balance of $265,249,280 at 12/31/12 is not included in the balance in line 154 above.</v>
      </c>
      <c r="E375" s="316"/>
      <c r="F375" s="316"/>
      <c r="G375" s="316"/>
      <c r="H375" s="316"/>
      <c r="I375" s="316"/>
      <c r="J375" s="316"/>
      <c r="K375" s="199"/>
      <c r="L375" s="199"/>
    </row>
    <row r="376" spans="1:12" ht="15">
      <c r="A376" s="199"/>
      <c r="B376" s="205"/>
      <c r="C376" s="206"/>
      <c r="D376" s="1218" t="s">
        <v>583</v>
      </c>
      <c r="E376" s="1218"/>
      <c r="F376" s="1218"/>
      <c r="G376" s="1218"/>
      <c r="H376" s="1218"/>
      <c r="I376" s="1218"/>
      <c r="J376" s="1218"/>
      <c r="K376" s="1218"/>
      <c r="L376" s="1218"/>
    </row>
    <row r="377" spans="1:12" ht="15">
      <c r="A377" s="199"/>
      <c r="B377" s="205"/>
      <c r="C377" s="206"/>
      <c r="D377" s="1218"/>
      <c r="E377" s="1218"/>
      <c r="F377" s="1218"/>
      <c r="G377" s="1218"/>
      <c r="H377" s="1218"/>
      <c r="I377" s="1218"/>
      <c r="J377" s="1218"/>
      <c r="K377" s="1218"/>
      <c r="L377" s="1218"/>
    </row>
    <row r="378" spans="1:12" ht="15">
      <c r="A378" s="199"/>
      <c r="B378" s="205"/>
      <c r="C378" s="206"/>
      <c r="D378" s="1218"/>
      <c r="E378" s="1218"/>
      <c r="F378" s="1218"/>
      <c r="G378" s="1218"/>
      <c r="H378" s="1218"/>
      <c r="I378" s="1218"/>
      <c r="J378" s="1218"/>
      <c r="K378" s="1218"/>
      <c r="L378" s="1218"/>
    </row>
    <row r="379" spans="1:12" ht="15">
      <c r="A379" s="199"/>
      <c r="B379" s="205" t="s">
        <v>494</v>
      </c>
      <c r="C379" s="321"/>
      <c r="D379" s="1218" t="s">
        <v>755</v>
      </c>
      <c r="E379" s="1218"/>
      <c r="F379" s="1218"/>
      <c r="G379" s="1218"/>
      <c r="H379" s="1218"/>
      <c r="I379" s="1218"/>
      <c r="J379" s="1218"/>
      <c r="K379" s="1218"/>
      <c r="L379" s="1218"/>
    </row>
    <row r="380" spans="1:12" ht="64.5" customHeight="1">
      <c r="A380" s="199"/>
      <c r="B380" s="205"/>
      <c r="C380" s="206"/>
      <c r="D380" s="1218"/>
      <c r="E380" s="1218"/>
      <c r="F380" s="1218"/>
      <c r="G380" s="1218"/>
      <c r="H380" s="1218"/>
      <c r="I380" s="1218"/>
      <c r="J380" s="1218"/>
      <c r="K380" s="1218"/>
      <c r="L380" s="1218"/>
    </row>
    <row r="381" spans="1:12" ht="15">
      <c r="A381" s="199"/>
      <c r="B381" s="205" t="s">
        <v>585</v>
      </c>
      <c r="C381" s="206"/>
      <c r="D381" s="1218" t="s">
        <v>584</v>
      </c>
      <c r="E381" s="1218"/>
      <c r="F381" s="1218"/>
      <c r="G381" s="1218"/>
      <c r="H381" s="1218"/>
      <c r="I381" s="1218"/>
      <c r="J381" s="1218"/>
      <c r="K381" s="1218"/>
      <c r="L381" s="1218"/>
    </row>
    <row r="382" spans="1:12" ht="15">
      <c r="A382" s="199"/>
      <c r="B382" s="205"/>
      <c r="C382" s="206"/>
      <c r="D382" s="1218"/>
      <c r="E382" s="1218"/>
      <c r="F382" s="1218"/>
      <c r="G382" s="1218"/>
      <c r="H382" s="1218"/>
      <c r="I382" s="1218"/>
      <c r="J382" s="1218"/>
      <c r="K382" s="1218"/>
      <c r="L382" s="1218"/>
    </row>
    <row r="383" spans="1:12" ht="15">
      <c r="A383" s="199"/>
      <c r="B383" s="205" t="s">
        <v>587</v>
      </c>
      <c r="C383" s="206"/>
      <c r="D383" s="1223" t="s">
        <v>588</v>
      </c>
      <c r="E383" s="1223"/>
      <c r="F383" s="1223"/>
      <c r="G383" s="1223"/>
      <c r="H383" s="1223"/>
      <c r="I383" s="1223"/>
      <c r="J383" s="1223"/>
      <c r="K383" s="1223"/>
      <c r="L383" s="1223"/>
    </row>
    <row r="384" spans="1:12" ht="15">
      <c r="A384" s="199"/>
      <c r="B384" s="205" t="s">
        <v>586</v>
      </c>
      <c r="C384" s="206"/>
      <c r="D384" s="1218" t="s">
        <v>589</v>
      </c>
      <c r="E384" s="1218"/>
      <c r="F384" s="1218"/>
      <c r="G384" s="1218"/>
      <c r="H384" s="1218"/>
      <c r="I384" s="1218"/>
      <c r="J384" s="1218"/>
      <c r="K384" s="1218"/>
      <c r="L384" s="1218"/>
    </row>
    <row r="385" spans="1:13" ht="15">
      <c r="A385" s="199"/>
      <c r="B385" s="205"/>
      <c r="C385" s="206"/>
      <c r="D385" s="1218"/>
      <c r="E385" s="1218"/>
      <c r="F385" s="1218"/>
      <c r="G385" s="1218"/>
      <c r="H385" s="1218"/>
      <c r="I385" s="1218"/>
      <c r="J385" s="1218"/>
      <c r="K385" s="1218"/>
      <c r="L385" s="1218"/>
    </row>
    <row r="386" spans="1:13" ht="15">
      <c r="A386" s="199"/>
      <c r="D386" s="1218"/>
      <c r="E386" s="1218"/>
      <c r="F386" s="1218"/>
      <c r="G386" s="1218"/>
      <c r="H386" s="1218"/>
      <c r="I386" s="1218"/>
      <c r="J386" s="1218"/>
      <c r="K386" s="1218"/>
      <c r="L386" s="1218"/>
    </row>
    <row r="387" spans="1:13" ht="18" customHeight="1">
      <c r="A387" s="199"/>
      <c r="B387" s="24" t="s">
        <v>627</v>
      </c>
      <c r="C387" s="734"/>
      <c r="D387" s="2" t="s">
        <v>859</v>
      </c>
      <c r="E387" s="4"/>
      <c r="F387" s="4"/>
      <c r="G387" s="4"/>
      <c r="I387" s="199"/>
      <c r="J387" s="199"/>
      <c r="K387" s="199"/>
      <c r="L387" s="199"/>
    </row>
    <row r="389" spans="1:13" ht="12.75" customHeight="1">
      <c r="B389" s="24" t="s">
        <v>962</v>
      </c>
      <c r="D389" s="1208" t="s">
        <v>963</v>
      </c>
      <c r="E389" s="1208"/>
      <c r="F389" s="1208"/>
      <c r="G389" s="1208"/>
      <c r="H389" s="1208"/>
      <c r="I389" s="1208"/>
      <c r="J389" s="1208"/>
      <c r="K389" s="1208"/>
      <c r="L389" s="1208"/>
    </row>
    <row r="390" spans="1:13">
      <c r="D390" s="1208"/>
      <c r="E390" s="1208"/>
      <c r="F390" s="1208"/>
      <c r="G390" s="1208"/>
      <c r="H390" s="1208"/>
      <c r="I390" s="1208"/>
      <c r="J390" s="1208"/>
      <c r="K390" s="1208"/>
      <c r="L390" s="1208"/>
    </row>
    <row r="391" spans="1:13" ht="12.75" customHeight="1">
      <c r="B391" s="313"/>
      <c r="C391" s="199"/>
      <c r="D391" s="199"/>
      <c r="E391" s="199"/>
      <c r="F391" s="199"/>
      <c r="G391" s="199"/>
      <c r="H391" s="199"/>
      <c r="I391" s="199"/>
      <c r="J391" s="199"/>
      <c r="K391" s="199"/>
      <c r="L391" s="199"/>
      <c r="M391" s="199"/>
    </row>
    <row r="392" spans="1:13" ht="12.75" customHeight="1">
      <c r="B392" s="198"/>
      <c r="C392" s="199"/>
      <c r="D392" s="199"/>
      <c r="E392" s="199"/>
      <c r="F392" s="199"/>
      <c r="G392" s="199"/>
      <c r="H392" s="199"/>
      <c r="I392" s="199"/>
      <c r="J392" s="199"/>
      <c r="K392" s="199"/>
      <c r="L392" s="199"/>
      <c r="M392" s="199"/>
    </row>
    <row r="393" spans="1:13" ht="12.75" customHeight="1">
      <c r="B393" s="313"/>
      <c r="C393" s="199"/>
      <c r="D393" s="199"/>
      <c r="E393" s="199"/>
      <c r="F393" s="199"/>
      <c r="G393" s="199"/>
      <c r="H393" s="199"/>
      <c r="I393" s="199"/>
      <c r="J393" s="199"/>
      <c r="K393" s="199"/>
      <c r="L393" s="199"/>
      <c r="M393" s="199"/>
    </row>
  </sheetData>
  <mergeCells count="26">
    <mergeCell ref="H269:I269"/>
    <mergeCell ref="D384:L386"/>
    <mergeCell ref="D296:L296"/>
    <mergeCell ref="D308:L308"/>
    <mergeCell ref="D304:L305"/>
    <mergeCell ref="D339:L342"/>
    <mergeCell ref="D299:K300"/>
    <mergeCell ref="D368:L373"/>
    <mergeCell ref="D376:L378"/>
    <mergeCell ref="D344:L346"/>
    <mergeCell ref="D389:L390"/>
    <mergeCell ref="B24:I25"/>
    <mergeCell ref="I60:J60"/>
    <mergeCell ref="I63:J63"/>
    <mergeCell ref="I140:J140"/>
    <mergeCell ref="I143:J143"/>
    <mergeCell ref="D42:L42"/>
    <mergeCell ref="D323:K325"/>
    <mergeCell ref="D379:L380"/>
    <mergeCell ref="D332:J334"/>
    <mergeCell ref="D319:K321"/>
    <mergeCell ref="D383:L383"/>
    <mergeCell ref="D336:K337"/>
    <mergeCell ref="D326:J327"/>
    <mergeCell ref="D381:L382"/>
    <mergeCell ref="E185:E186"/>
  </mergeCells>
  <phoneticPr fontId="0" type="noConversion"/>
  <pageMargins left="0.26" right="0.37" top="1" bottom="1" header="0.86" footer="0.5"/>
  <pageSetup scale="35" fitToHeight="5" orientation="portrait" r:id="rId1"/>
  <headerFooter alignWithMargins="0">
    <oddHeader>&amp;R&amp;"Arial,Bold"Formula Rate 
&amp;A
Page &amp;P of &amp;N</oddHeader>
  </headerFooter>
  <rowBreaks count="4" manualBreakCount="4">
    <brk id="51" max="11" man="1"/>
    <brk id="132" max="11" man="1"/>
    <brk id="222" max="11" man="1"/>
    <brk id="276"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27"/>
  <sheetViews>
    <sheetView zoomScaleNormal="100" zoomScaleSheetLayoutView="100" workbookViewId="0">
      <selection activeCell="C16" sqref="C16"/>
    </sheetView>
  </sheetViews>
  <sheetFormatPr defaultColWidth="8.85546875" defaultRowHeight="12.75" customHeight="1"/>
  <cols>
    <col min="1" max="1" width="9.28515625" bestFit="1" customWidth="1"/>
    <col min="2" max="2" width="65.140625" bestFit="1" customWidth="1"/>
    <col min="3" max="3" width="12.7109375" bestFit="1" customWidth="1"/>
    <col min="4" max="4" width="1.5703125" customWidth="1"/>
    <col min="5" max="5" width="15" bestFit="1" customWidth="1"/>
  </cols>
  <sheetData>
    <row r="1" spans="1:5" ht="15.75">
      <c r="A1" s="581"/>
    </row>
    <row r="2" spans="1:5" ht="15.75">
      <c r="A2" s="581"/>
    </row>
    <row r="3" spans="1:5" ht="15">
      <c r="A3" s="1235" t="str">
        <f>+'WS C  - Working Capital'!A3:L3</f>
        <v>AEP East Companies</v>
      </c>
      <c r="B3" s="1235"/>
      <c r="C3" s="1235"/>
      <c r="D3" s="1235"/>
      <c r="E3" s="1235"/>
    </row>
    <row r="4" spans="1:5" ht="15">
      <c r="A4" s="1236" t="str">
        <f>"Cost of Service Formula Rate Using Actual/Projected FF1 Balances"</f>
        <v>Cost of Service Formula Rate Using Actual/Projected FF1 Balances</v>
      </c>
      <c r="B4" s="1236"/>
      <c r="C4" s="1236"/>
      <c r="D4" s="1236"/>
      <c r="E4" s="1236"/>
    </row>
    <row r="5" spans="1:5" ht="15">
      <c r="A5" s="1236" t="s">
        <v>227</v>
      </c>
      <c r="B5" s="1236"/>
      <c r="C5" s="1236"/>
      <c r="D5" s="1236"/>
      <c r="E5" s="1236"/>
    </row>
    <row r="6" spans="1:5" ht="15">
      <c r="A6" s="1247" t="str">
        <f>TCOS!F9</f>
        <v>Appalachian Power Company</v>
      </c>
      <c r="B6" s="1247"/>
      <c r="C6" s="1247"/>
      <c r="D6" s="1247"/>
      <c r="E6" s="1247"/>
    </row>
    <row r="7" spans="1:5">
      <c r="A7" s="1"/>
    </row>
    <row r="8" spans="1:5">
      <c r="A8" s="323" t="s">
        <v>169</v>
      </c>
      <c r="B8" s="114" t="s">
        <v>162</v>
      </c>
      <c r="C8" s="114" t="s">
        <v>163</v>
      </c>
    </row>
    <row r="9" spans="1:5">
      <c r="A9" s="323" t="s">
        <v>106</v>
      </c>
      <c r="B9" s="323" t="s">
        <v>167</v>
      </c>
      <c r="C9" s="323">
        <f>+TCOS!L4</f>
        <v>2026</v>
      </c>
    </row>
    <row r="10" spans="1:5">
      <c r="A10" s="1"/>
      <c r="B10" s="166"/>
      <c r="C10" s="114"/>
    </row>
    <row r="11" spans="1:5">
      <c r="A11" s="1">
        <v>1</v>
      </c>
      <c r="B11" s="736" t="str">
        <f>"Net Funds from IPP Customers 12/31/"&amp;TCOS!L4-1&amp;" ("&amp;TCOS!L4&amp;" FORM 1, P269)"</f>
        <v>Net Funds from IPP Customers 12/31/2025 (2026 FORM 1, P269)</v>
      </c>
      <c r="C11" s="543">
        <v>0</v>
      </c>
    </row>
    <row r="12" spans="1:5">
      <c r="A12" s="1"/>
      <c r="B12" s="4"/>
      <c r="C12" s="95"/>
    </row>
    <row r="13" spans="1:5">
      <c r="A13" s="1">
        <v>2</v>
      </c>
      <c r="B13" s="736" t="s">
        <v>71</v>
      </c>
      <c r="C13" s="543">
        <v>0</v>
      </c>
    </row>
    <row r="14" spans="1:5">
      <c r="A14" s="1"/>
      <c r="B14" s="736"/>
      <c r="C14" s="95"/>
    </row>
    <row r="15" spans="1:5">
      <c r="A15" s="1">
        <f>+A13+1</f>
        <v>3</v>
      </c>
      <c r="B15" s="736" t="s">
        <v>72</v>
      </c>
      <c r="C15" s="543">
        <v>0</v>
      </c>
    </row>
    <row r="16" spans="1:5">
      <c r="A16" s="1"/>
      <c r="B16" s="736"/>
      <c r="C16" s="95"/>
    </row>
    <row r="17" spans="1:4">
      <c r="A17" s="1">
        <f>+A15+1</f>
        <v>4</v>
      </c>
      <c r="B17" s="737" t="s">
        <v>228</v>
      </c>
      <c r="C17" s="95"/>
    </row>
    <row r="18" spans="1:4">
      <c r="A18" s="1">
        <f>+A17+1</f>
        <v>5</v>
      </c>
      <c r="B18" s="736" t="s">
        <v>73</v>
      </c>
      <c r="C18" s="543">
        <v>0</v>
      </c>
    </row>
    <row r="19" spans="1:4">
      <c r="A19" s="1">
        <f>+A18+1</f>
        <v>6</v>
      </c>
      <c r="B19" s="67" t="s">
        <v>114</v>
      </c>
      <c r="C19" s="548">
        <v>0</v>
      </c>
    </row>
    <row r="20" spans="1:4">
      <c r="A20" s="1"/>
      <c r="B20" s="4"/>
      <c r="C20" s="549"/>
    </row>
    <row r="21" spans="1:4">
      <c r="A21" s="1">
        <f>+A19+1</f>
        <v>7</v>
      </c>
      <c r="B21" s="736" t="str">
        <f>"Net Funds from IPP Customers 12/31/"&amp;TCOS!L4&amp;" ("&amp;TCOS!L4&amp;" FORM 1, P269)"</f>
        <v>Net Funds from IPP Customers 12/31/2026 (2026 FORM 1, P269)</v>
      </c>
      <c r="C21" s="95">
        <f>+C11+C13+C15+C18+C19</f>
        <v>0</v>
      </c>
      <c r="D21" s="324"/>
    </row>
    <row r="22" spans="1:4">
      <c r="A22" s="1"/>
      <c r="B22" s="4"/>
      <c r="C22" s="95"/>
    </row>
    <row r="23" spans="1:4">
      <c r="A23" s="1">
        <f>+A21+1</f>
        <v>8</v>
      </c>
      <c r="B23" s="736" t="str">
        <f>"Average Balance for Year as Indicated in Column B ((ln "&amp;A11&amp;" + ln "&amp;A21&amp;")/2)"</f>
        <v>Average Balance for Year as Indicated in Column B ((ln 1 + ln 7)/2)</v>
      </c>
      <c r="C23" s="325">
        <f>AVERAGE(C21,C11)</f>
        <v>0</v>
      </c>
    </row>
    <row r="24" spans="1:4">
      <c r="A24" s="1"/>
      <c r="B24" s="4"/>
    </row>
    <row r="25" spans="1:4">
      <c r="A25" s="1"/>
      <c r="B25" s="155"/>
      <c r="C25" s="326"/>
    </row>
    <row r="26" spans="1:4" ht="15">
      <c r="A26" s="199" t="s">
        <v>499</v>
      </c>
      <c r="B26" s="1219" t="str">
        <f>"On this worksheet Company Records refers to  "&amp;A6&amp;"'s general ledger."</f>
        <v>On this worksheet Company Records refers to  Appalachian Power Company's general ledger.</v>
      </c>
    </row>
    <row r="27" spans="1:4">
      <c r="A27" s="1"/>
      <c r="B27" s="1220"/>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K42"/>
  <sheetViews>
    <sheetView view="pageBreakPreview" zoomScaleNormal="100" zoomScaleSheetLayoutView="100" workbookViewId="0">
      <selection activeCell="A3" sqref="A3:K6"/>
    </sheetView>
  </sheetViews>
  <sheetFormatPr defaultRowHeight="12.75" customHeight="1"/>
  <cols>
    <col min="1" max="1" width="9.42578125" customWidth="1"/>
    <col min="2" max="2" width="6.7109375" customWidth="1"/>
    <col min="3" max="8" width="14.5703125" customWidth="1"/>
    <col min="9" max="9" width="14.85546875" bestFit="1" customWidth="1"/>
    <col min="10" max="11" width="16.5703125" bestFit="1" customWidth="1"/>
    <col min="12" max="38" width="9.140625" customWidth="1"/>
  </cols>
  <sheetData>
    <row r="1" spans="1:11" ht="15.75">
      <c r="A1" s="581"/>
      <c r="B1" s="327"/>
      <c r="C1" s="327"/>
      <c r="D1" s="327"/>
      <c r="E1" s="327"/>
      <c r="F1" s="327"/>
      <c r="G1" s="327"/>
      <c r="H1" s="327"/>
      <c r="I1" s="327"/>
      <c r="J1" s="327"/>
      <c r="K1" s="327"/>
    </row>
    <row r="2" spans="1:11" ht="15.75">
      <c r="A2" s="581"/>
      <c r="B2" s="327"/>
      <c r="C2" s="327"/>
      <c r="D2" s="327"/>
      <c r="E2" s="327"/>
      <c r="F2" s="327"/>
      <c r="G2" s="327"/>
      <c r="H2" s="327"/>
      <c r="I2" s="327"/>
      <c r="J2" s="327"/>
      <c r="K2" s="327"/>
    </row>
    <row r="3" spans="1:11" ht="15">
      <c r="A3" s="1235" t="str">
        <f>+'WS C  - Working Capital'!A3:L3</f>
        <v>AEP East Companies</v>
      </c>
      <c r="B3" s="1235"/>
      <c r="C3" s="1235"/>
      <c r="D3" s="1235"/>
      <c r="E3" s="1235"/>
      <c r="F3" s="1235"/>
      <c r="G3" s="1235"/>
      <c r="H3" s="1235"/>
      <c r="I3" s="1235"/>
      <c r="J3" s="1235"/>
      <c r="K3" s="1235"/>
    </row>
    <row r="4" spans="1:11" ht="15">
      <c r="A4" s="1236" t="str">
        <f>"Cost of Service Formula Rate Using Actual/Projected FF1 Balances"</f>
        <v>Cost of Service Formula Rate Using Actual/Projected FF1 Balances</v>
      </c>
      <c r="B4" s="1236"/>
      <c r="C4" s="1236"/>
      <c r="D4" s="1236"/>
      <c r="E4" s="1236"/>
      <c r="F4" s="1236"/>
      <c r="G4" s="1236"/>
      <c r="H4" s="1236"/>
      <c r="I4" s="1236"/>
      <c r="J4" s="1236"/>
      <c r="K4" s="1236"/>
    </row>
    <row r="5" spans="1:11" ht="15">
      <c r="A5" s="1236" t="s">
        <v>237</v>
      </c>
      <c r="B5" s="1236"/>
      <c r="C5" s="1236"/>
      <c r="D5" s="1236"/>
      <c r="E5" s="1236"/>
      <c r="F5" s="1236"/>
      <c r="G5" s="1236"/>
      <c r="H5" s="1236"/>
      <c r="I5" s="1236"/>
      <c r="J5" s="1236"/>
      <c r="K5" s="1236"/>
    </row>
    <row r="6" spans="1:11" ht="15">
      <c r="A6" s="1247" t="str">
        <f>TCOS!F9</f>
        <v>Appalachian Power Company</v>
      </c>
      <c r="B6" s="1247"/>
      <c r="C6" s="1247"/>
      <c r="D6" s="1247"/>
      <c r="E6" s="1247"/>
      <c r="F6" s="1247"/>
      <c r="G6" s="1247"/>
      <c r="H6" s="1247"/>
      <c r="I6" s="1247"/>
      <c r="J6" s="1247"/>
      <c r="K6" s="1247"/>
    </row>
    <row r="7" spans="1:11" ht="15">
      <c r="A7" s="327"/>
      <c r="B7" s="327"/>
      <c r="C7" s="327"/>
      <c r="D7" s="327"/>
      <c r="E7" s="327"/>
      <c r="F7" s="327"/>
      <c r="G7" s="327"/>
      <c r="H7" s="327"/>
      <c r="I7" s="327"/>
      <c r="J7" s="327"/>
      <c r="K7" s="327"/>
    </row>
    <row r="8" spans="1:11" ht="18">
      <c r="A8" s="1269"/>
      <c r="B8" s="1269"/>
      <c r="C8" s="1269"/>
      <c r="D8" s="1269"/>
      <c r="E8" s="1269"/>
      <c r="F8" s="1269"/>
      <c r="G8" s="1269"/>
      <c r="H8" s="1269"/>
      <c r="I8" s="1269"/>
      <c r="J8" s="1269"/>
      <c r="K8" s="1269"/>
    </row>
    <row r="9" spans="1:11" ht="18">
      <c r="A9" s="113"/>
      <c r="B9" s="113"/>
      <c r="C9" s="113"/>
      <c r="D9" s="113"/>
      <c r="E9" s="113"/>
      <c r="F9" s="113"/>
      <c r="G9" s="113"/>
      <c r="H9" s="113"/>
      <c r="I9" s="113"/>
      <c r="J9" s="113"/>
      <c r="K9" s="113"/>
    </row>
    <row r="10" spans="1:11" ht="15.75">
      <c r="A10" s="329" t="s">
        <v>169</v>
      </c>
      <c r="B10" s="328"/>
      <c r="C10" s="23"/>
      <c r="D10" s="23"/>
      <c r="E10" s="23"/>
      <c r="F10" s="23"/>
      <c r="G10" s="330"/>
      <c r="H10" s="330"/>
      <c r="I10" s="329" t="s">
        <v>182</v>
      </c>
      <c r="J10" s="329" t="s">
        <v>28</v>
      </c>
      <c r="K10" s="331"/>
    </row>
    <row r="11" spans="1:11" ht="15.75">
      <c r="A11" s="329" t="s">
        <v>106</v>
      </c>
      <c r="B11" s="1270" t="s">
        <v>167</v>
      </c>
      <c r="C11" s="1270"/>
      <c r="D11" s="1270"/>
      <c r="E11" s="1270"/>
      <c r="F11" s="1270"/>
      <c r="G11" s="1270"/>
      <c r="H11" s="1270"/>
      <c r="I11" s="329" t="s">
        <v>183</v>
      </c>
      <c r="J11" s="329" t="s">
        <v>115</v>
      </c>
      <c r="K11" s="329" t="s">
        <v>115</v>
      </c>
    </row>
    <row r="12" spans="1:11" ht="15.75">
      <c r="A12" s="330"/>
      <c r="B12" s="332"/>
      <c r="C12" s="328"/>
      <c r="D12" s="330"/>
      <c r="E12" s="330"/>
      <c r="F12" s="330"/>
      <c r="G12" s="330"/>
      <c r="H12" s="330"/>
      <c r="I12" s="330"/>
      <c r="J12" s="330"/>
      <c r="K12" s="333"/>
    </row>
    <row r="13" spans="1:11">
      <c r="A13" s="334">
        <v>1</v>
      </c>
      <c r="B13" s="335" t="s">
        <v>482</v>
      </c>
      <c r="C13" s="4"/>
      <c r="D13" s="336"/>
      <c r="E13" s="336"/>
      <c r="F13" s="336"/>
      <c r="G13" s="336"/>
      <c r="H13" s="336"/>
      <c r="I13" s="550">
        <v>5702150.0000000019</v>
      </c>
      <c r="J13" s="337">
        <f>+I13-K12</f>
        <v>5702150.0000000019</v>
      </c>
      <c r="K13" s="550">
        <v>0</v>
      </c>
    </row>
    <row r="14" spans="1:11">
      <c r="A14" s="339"/>
      <c r="B14" s="340"/>
      <c r="C14" s="341"/>
      <c r="D14" s="342"/>
      <c r="E14" s="342"/>
      <c r="F14" s="342"/>
      <c r="G14" s="342"/>
      <c r="H14" s="336"/>
      <c r="I14" s="343"/>
      <c r="J14" s="336"/>
      <c r="K14" s="343"/>
    </row>
    <row r="15" spans="1:11">
      <c r="A15" s="334">
        <f>+A13+1</f>
        <v>2</v>
      </c>
      <c r="B15" s="335" t="s">
        <v>483</v>
      </c>
      <c r="C15" s="4"/>
      <c r="D15" s="336"/>
      <c r="E15" s="336"/>
      <c r="F15" s="336"/>
      <c r="G15" s="336"/>
      <c r="H15" s="336"/>
      <c r="I15" s="550">
        <v>3404379.9999999949</v>
      </c>
      <c r="J15" s="337">
        <f>+I15-K15</f>
        <v>3396387.2012641402</v>
      </c>
      <c r="K15" s="550">
        <v>7992.7987358546743</v>
      </c>
    </row>
    <row r="16" spans="1:11">
      <c r="A16" s="339"/>
      <c r="B16" s="340"/>
      <c r="C16" s="341"/>
      <c r="D16" s="342"/>
      <c r="E16" s="342"/>
      <c r="F16" s="342"/>
      <c r="G16" s="342"/>
      <c r="H16" s="336"/>
      <c r="I16" s="336"/>
      <c r="J16" s="336"/>
      <c r="K16" s="336"/>
    </row>
    <row r="17" spans="1:11">
      <c r="A17" s="334">
        <f>+A15+1</f>
        <v>3</v>
      </c>
      <c r="B17" s="335" t="s">
        <v>484</v>
      </c>
      <c r="C17" s="4"/>
      <c r="D17" s="336"/>
      <c r="E17" s="336"/>
      <c r="F17" s="336"/>
      <c r="G17" s="336"/>
      <c r="H17" s="336"/>
      <c r="I17" s="550">
        <v>30281440.597599991</v>
      </c>
      <c r="J17" s="337">
        <f>+I17-K17</f>
        <v>25845480.691982444</v>
      </c>
      <c r="K17" s="550">
        <v>4435959.9056175463</v>
      </c>
    </row>
    <row r="18" spans="1:11">
      <c r="A18" s="339"/>
      <c r="B18" s="336"/>
      <c r="C18" s="4"/>
      <c r="D18" s="336"/>
      <c r="E18" s="336"/>
      <c r="F18" s="336"/>
      <c r="G18" s="344"/>
      <c r="H18" s="336"/>
      <c r="I18" s="336"/>
      <c r="J18" s="336"/>
      <c r="K18" s="336"/>
    </row>
    <row r="19" spans="1:11">
      <c r="A19" s="334">
        <f>+A17+1</f>
        <v>4</v>
      </c>
      <c r="B19" s="335" t="s">
        <v>758</v>
      </c>
      <c r="C19" s="4"/>
      <c r="D19" s="336"/>
      <c r="E19" s="336"/>
      <c r="F19" s="336"/>
      <c r="G19" s="344"/>
      <c r="H19" s="336"/>
      <c r="I19" s="550">
        <v>12586676.040000005</v>
      </c>
      <c r="J19" s="337">
        <f>+I19-K19</f>
        <v>6345826.7724323757</v>
      </c>
      <c r="K19" s="550">
        <v>6240849.267567629</v>
      </c>
    </row>
    <row r="20" spans="1:11">
      <c r="A20" s="339"/>
      <c r="B20" s="335"/>
      <c r="C20" s="4"/>
      <c r="D20" s="336"/>
      <c r="E20" s="336"/>
      <c r="F20" s="336"/>
      <c r="G20" s="344"/>
      <c r="H20" s="336"/>
      <c r="I20" s="4"/>
      <c r="J20" s="4"/>
      <c r="K20" s="4"/>
    </row>
    <row r="21" spans="1:11">
      <c r="A21" s="334">
        <f>+A19+1</f>
        <v>5</v>
      </c>
      <c r="B21" s="335" t="s">
        <v>759</v>
      </c>
      <c r="C21" s="4"/>
      <c r="D21" s="336"/>
      <c r="E21" s="336"/>
      <c r="F21" s="336"/>
      <c r="G21" s="344"/>
      <c r="H21" s="336"/>
      <c r="I21" s="550">
        <v>246221848.94621518</v>
      </c>
      <c r="J21" s="337">
        <f>+I21-K21</f>
        <v>246221848.94621518</v>
      </c>
      <c r="K21" s="550">
        <v>0</v>
      </c>
    </row>
    <row r="22" spans="1:11">
      <c r="A22" s="334"/>
      <c r="B22" s="335"/>
      <c r="C22" s="4"/>
      <c r="D22" s="336"/>
      <c r="E22" s="336"/>
      <c r="F22" s="336"/>
      <c r="G22" s="344"/>
      <c r="H22" s="336"/>
      <c r="I22" s="580"/>
      <c r="J22" s="337"/>
      <c r="K22" s="580"/>
    </row>
    <row r="23" spans="1:11">
      <c r="A23" s="334" t="s">
        <v>617</v>
      </c>
      <c r="B23" s="335" t="s">
        <v>620</v>
      </c>
      <c r="C23" s="4"/>
      <c r="D23" s="336"/>
      <c r="E23" s="336"/>
      <c r="F23" s="336"/>
      <c r="G23" s="344"/>
      <c r="H23" s="336"/>
      <c r="I23" s="550"/>
      <c r="J23" s="337">
        <v>0</v>
      </c>
      <c r="K23" s="550"/>
    </row>
    <row r="24" spans="1:11">
      <c r="A24" s="334"/>
      <c r="B24" s="335"/>
      <c r="C24" s="4"/>
      <c r="D24" s="336"/>
      <c r="E24" s="336"/>
      <c r="F24" s="336"/>
      <c r="G24" s="344"/>
      <c r="H24" s="336"/>
      <c r="I24" s="580"/>
      <c r="J24" s="337"/>
      <c r="K24" s="580"/>
    </row>
    <row r="25" spans="1:11">
      <c r="A25" s="334" t="s">
        <v>618</v>
      </c>
      <c r="B25" s="335" t="s">
        <v>619</v>
      </c>
      <c r="C25" s="4"/>
      <c r="D25" s="336"/>
      <c r="E25" s="336"/>
      <c r="F25" s="336"/>
      <c r="G25" s="344"/>
      <c r="H25" s="336"/>
      <c r="I25" s="550"/>
      <c r="J25" s="337">
        <v>0</v>
      </c>
      <c r="K25" s="550"/>
    </row>
    <row r="26" spans="1:11">
      <c r="A26" s="334"/>
      <c r="B26" s="335"/>
      <c r="C26" s="4"/>
      <c r="D26" s="336"/>
      <c r="E26" s="336"/>
      <c r="F26" s="336"/>
      <c r="G26" s="344"/>
      <c r="H26" s="336"/>
      <c r="I26" s="4"/>
      <c r="J26" s="4"/>
      <c r="K26" s="338"/>
    </row>
    <row r="27" spans="1:11">
      <c r="A27" s="334">
        <f>+A21+1</f>
        <v>6</v>
      </c>
      <c r="B27" s="335" t="s">
        <v>74</v>
      </c>
      <c r="C27" s="4"/>
      <c r="D27" s="336"/>
      <c r="E27" s="336"/>
      <c r="F27" s="336"/>
      <c r="G27" s="344"/>
      <c r="H27" s="336"/>
      <c r="I27" s="346">
        <f>+I21+I19+I17+I15+I13+I23+I25</f>
        <v>298196495.58381516</v>
      </c>
      <c r="J27" s="346">
        <f>+J21+J19+J17+J15+J13+J23+J25</f>
        <v>287511693.61189413</v>
      </c>
      <c r="K27" s="346">
        <f>+K21+K19+K17+K15+K13+K23+K25</f>
        <v>10684801.97192103</v>
      </c>
    </row>
    <row r="28" spans="1:11">
      <c r="A28" s="334"/>
      <c r="B28" s="335"/>
      <c r="C28" s="4"/>
      <c r="D28" s="336"/>
      <c r="E28" s="336"/>
      <c r="F28" s="336"/>
      <c r="G28" s="344"/>
      <c r="H28" s="336"/>
      <c r="I28" s="4"/>
      <c r="J28" s="4"/>
      <c r="K28" s="4"/>
    </row>
    <row r="29" spans="1:11">
      <c r="A29" s="334">
        <f>+A27+1</f>
        <v>7</v>
      </c>
      <c r="B29" s="1268" t="s">
        <v>485</v>
      </c>
      <c r="C29" s="1220"/>
      <c r="D29" s="1220"/>
      <c r="E29" s="1220"/>
      <c r="F29" s="1220"/>
      <c r="G29" s="1220"/>
      <c r="H29" s="336"/>
      <c r="I29" s="550"/>
      <c r="J29" s="337">
        <f>+I29-K29</f>
        <v>0</v>
      </c>
      <c r="K29" s="550"/>
    </row>
    <row r="30" spans="1:11">
      <c r="A30" s="67"/>
      <c r="B30" s="1220"/>
      <c r="C30" s="1220"/>
      <c r="D30" s="1220"/>
      <c r="E30" s="1220"/>
      <c r="F30" s="1220"/>
      <c r="G30" s="1220"/>
      <c r="H30" s="336"/>
      <c r="I30" s="337"/>
      <c r="J30" s="336"/>
      <c r="K30" s="337"/>
    </row>
    <row r="31" spans="1:11">
      <c r="A31" s="334">
        <f>+A29+1</f>
        <v>8</v>
      </c>
      <c r="B31" s="340" t="s">
        <v>215</v>
      </c>
      <c r="C31" s="341"/>
      <c r="D31" s="342"/>
      <c r="E31" s="342"/>
      <c r="F31" s="342"/>
      <c r="G31" s="345"/>
      <c r="H31" s="336"/>
      <c r="I31" s="347">
        <f>SUM(I27:I29)</f>
        <v>298196495.58381516</v>
      </c>
      <c r="J31" s="347">
        <f>SUM(J27:J29)</f>
        <v>287511693.61189413</v>
      </c>
      <c r="K31" s="347">
        <f>SUM(K27:K29)</f>
        <v>10684801.97192103</v>
      </c>
    </row>
    <row r="32" spans="1:11">
      <c r="A32" s="334"/>
      <c r="B32" s="340"/>
      <c r="C32" s="341"/>
      <c r="D32" s="342"/>
      <c r="E32" s="342"/>
      <c r="F32" s="342"/>
      <c r="G32" s="345"/>
      <c r="H32" s="336"/>
      <c r="I32" s="337"/>
      <c r="J32" s="337"/>
      <c r="K32" s="337"/>
    </row>
    <row r="33" spans="1:11">
      <c r="A33" s="334"/>
      <c r="B33" s="340"/>
      <c r="C33" s="341"/>
      <c r="D33" s="342"/>
      <c r="E33" s="342"/>
      <c r="F33" s="342"/>
      <c r="G33" s="345"/>
      <c r="H33" s="336"/>
      <c r="I33" s="337"/>
      <c r="J33" s="337"/>
      <c r="K33" s="337"/>
    </row>
    <row r="34" spans="1:11">
      <c r="A34" s="739"/>
      <c r="B34" s="338"/>
      <c r="C34" s="338"/>
      <c r="D34" s="338"/>
      <c r="E34" s="338"/>
      <c r="F34" s="338"/>
      <c r="G34" s="338"/>
      <c r="H34" s="338"/>
      <c r="I34" s="338"/>
      <c r="J34" s="338"/>
      <c r="K34" s="338"/>
    </row>
    <row r="35" spans="1:11">
      <c r="A35" s="740"/>
      <c r="B35" s="4"/>
      <c r="C35" s="335"/>
      <c r="D35" s="336"/>
      <c r="E35" s="336"/>
      <c r="F35" s="336"/>
      <c r="G35" s="344"/>
      <c r="H35" s="336"/>
      <c r="I35" s="336"/>
      <c r="J35" s="336"/>
      <c r="K35" s="336"/>
    </row>
    <row r="36" spans="1:11" ht="15" customHeight="1">
      <c r="A36" s="67" t="s">
        <v>499</v>
      </c>
      <c r="B36" s="1267"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Appalachian Power Company's general ledger. The functional amounts identified as transmission revenue also come from the general ledger. </v>
      </c>
      <c r="C36" s="1267"/>
      <c r="D36" s="1267"/>
      <c r="E36" s="1267"/>
      <c r="F36" s="1267"/>
      <c r="G36" s="1267"/>
      <c r="H36" s="1267"/>
      <c r="I36" s="1267"/>
      <c r="J36" s="1267"/>
      <c r="K36" s="4"/>
    </row>
    <row r="37" spans="1:11">
      <c r="A37" s="67"/>
      <c r="B37" s="1267"/>
      <c r="C37" s="1267"/>
      <c r="D37" s="1267"/>
      <c r="E37" s="1267"/>
      <c r="F37" s="1267"/>
      <c r="G37" s="1267"/>
      <c r="H37" s="1267"/>
      <c r="I37" s="1267"/>
      <c r="J37" s="1267"/>
      <c r="K37" s="4"/>
    </row>
    <row r="38" spans="1:11">
      <c r="A38" s="67" t="s">
        <v>615</v>
      </c>
      <c r="B38" s="738" t="s">
        <v>616</v>
      </c>
      <c r="C38" s="348"/>
      <c r="D38" s="348"/>
      <c r="E38" s="348"/>
      <c r="F38" s="348"/>
      <c r="G38" s="348"/>
      <c r="H38" s="348"/>
      <c r="I38" s="348"/>
      <c r="J38" s="348"/>
      <c r="K38" s="114"/>
    </row>
    <row r="39" spans="1:11">
      <c r="A39" s="334">
        <f>+A31+1</f>
        <v>9</v>
      </c>
      <c r="B39" s="335" t="s">
        <v>534</v>
      </c>
      <c r="C39" s="4"/>
      <c r="D39" s="336"/>
      <c r="E39" s="336"/>
      <c r="F39" s="336"/>
      <c r="G39" s="344"/>
      <c r="H39" s="336"/>
      <c r="I39" s="337"/>
      <c r="J39" s="337"/>
      <c r="K39" s="550">
        <v>0</v>
      </c>
    </row>
    <row r="40" spans="1:11" ht="15.75">
      <c r="A40" s="2"/>
      <c r="B40" s="2"/>
      <c r="C40" s="327"/>
      <c r="D40" s="327"/>
      <c r="E40" s="349"/>
      <c r="F40" s="349"/>
      <c r="G40" s="349"/>
      <c r="H40" s="349"/>
      <c r="I40" s="350"/>
      <c r="J40" s="349"/>
      <c r="K40" s="349"/>
    </row>
    <row r="41" spans="1:11" ht="15.75">
      <c r="A41" s="2"/>
      <c r="B41" s="2"/>
      <c r="C41" s="327"/>
      <c r="D41" s="327"/>
      <c r="E41" s="349"/>
      <c r="F41" s="349"/>
      <c r="G41" s="349"/>
      <c r="H41" s="349"/>
      <c r="I41" s="349" t="s">
        <v>114</v>
      </c>
      <c r="J41" s="349"/>
      <c r="K41" s="349"/>
    </row>
    <row r="42" spans="1:11" ht="15.75">
      <c r="A42" s="2"/>
      <c r="B42" s="2"/>
      <c r="C42" s="327"/>
      <c r="D42" s="327"/>
      <c r="E42" s="349"/>
      <c r="F42" s="349"/>
      <c r="G42" s="349"/>
      <c r="H42" s="349"/>
      <c r="I42" s="349" t="s">
        <v>114</v>
      </c>
      <c r="J42" s="349"/>
      <c r="K42" s="349"/>
    </row>
  </sheetData>
  <mergeCells count="8">
    <mergeCell ref="B36:J37"/>
    <mergeCell ref="A3:K3"/>
    <mergeCell ref="A4:K4"/>
    <mergeCell ref="A5:K5"/>
    <mergeCell ref="A6:K6"/>
    <mergeCell ref="B29:G30"/>
    <mergeCell ref="A8:K8"/>
    <mergeCell ref="B11:H11"/>
  </mergeCells>
  <phoneticPr fontId="0" type="noConversion"/>
  <pageMargins left="0.26" right="0.63"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70"/>
  <sheetViews>
    <sheetView topLeftCell="A7" zoomScale="85" zoomScaleNormal="85" zoomScaleSheetLayoutView="85" workbookViewId="0">
      <selection activeCell="G29" sqref="G29"/>
    </sheetView>
  </sheetViews>
  <sheetFormatPr defaultRowHeight="12.75" customHeight="1"/>
  <cols>
    <col min="1" max="1" width="10.42578125" customWidth="1"/>
    <col min="2" max="2" width="15.140625" customWidth="1"/>
    <col min="3" max="3" width="59.140625" customWidth="1"/>
    <col min="4" max="4" width="15.7109375" customWidth="1"/>
    <col min="5" max="5" width="22" customWidth="1"/>
    <col min="6" max="6" width="17" bestFit="1" customWidth="1"/>
    <col min="7" max="7" width="47.7109375" customWidth="1"/>
    <col min="8" max="8" width="9.140625" customWidth="1"/>
    <col min="10" max="11" width="9.140625" customWidth="1"/>
  </cols>
  <sheetData>
    <row r="1" spans="1:7" ht="15.75">
      <c r="A1" s="581"/>
      <c r="B1" s="14"/>
      <c r="C1" s="6"/>
      <c r="D1" s="6"/>
      <c r="E1" s="6"/>
      <c r="F1" s="6"/>
      <c r="G1" s="6"/>
    </row>
    <row r="2" spans="1:7" ht="15.75">
      <c r="A2" s="581"/>
      <c r="B2" s="14"/>
      <c r="C2" s="6"/>
      <c r="D2" s="6"/>
      <c r="E2" s="6"/>
      <c r="F2" s="6"/>
      <c r="G2" s="6"/>
    </row>
    <row r="3" spans="1:7" ht="15">
      <c r="A3" s="1235" t="s">
        <v>387</v>
      </c>
      <c r="B3" s="1235"/>
      <c r="C3" s="1235"/>
      <c r="D3" s="1235"/>
      <c r="E3" s="1235"/>
      <c r="F3" s="1235"/>
      <c r="G3" s="1235"/>
    </row>
    <row r="4" spans="1:7" ht="17.25" customHeight="1">
      <c r="A4" s="1236" t="str">
        <f>"Cost of Service Formula Rate Using Actual/Projected FF1 Balances"</f>
        <v>Cost of Service Formula Rate Using Actual/Projected FF1 Balances</v>
      </c>
      <c r="B4" s="1236"/>
      <c r="C4" s="1236"/>
      <c r="D4" s="1236"/>
      <c r="E4" s="1236"/>
      <c r="F4" s="1236"/>
      <c r="G4" s="1236"/>
    </row>
    <row r="5" spans="1:7" ht="18" customHeight="1">
      <c r="A5" s="1236" t="s">
        <v>488</v>
      </c>
      <c r="B5" s="1236"/>
      <c r="C5" s="1236"/>
      <c r="D5" s="1236"/>
      <c r="E5" s="1236"/>
      <c r="F5" s="1236"/>
      <c r="G5" s="1236"/>
    </row>
    <row r="6" spans="1:7" ht="19.5" customHeight="1">
      <c r="A6" s="1247" t="str">
        <f>TCOS!F9</f>
        <v>Appalachian Power Company</v>
      </c>
      <c r="B6" s="1247"/>
      <c r="C6" s="1247"/>
      <c r="D6" s="1247"/>
      <c r="E6" s="1247"/>
      <c r="F6" s="1247"/>
      <c r="G6" s="1247"/>
    </row>
    <row r="7" spans="1:7" ht="12.75" customHeight="1">
      <c r="A7" s="1235"/>
      <c r="B7" s="1235"/>
      <c r="C7" s="1235"/>
      <c r="D7" s="1235"/>
      <c r="E7" s="1235"/>
      <c r="F7" s="1235"/>
      <c r="G7" s="30"/>
    </row>
    <row r="8" spans="1:7" ht="18">
      <c r="A8" s="1269"/>
      <c r="B8" s="1269"/>
      <c r="C8" s="1269"/>
      <c r="D8" s="1269"/>
      <c r="E8" s="1269"/>
      <c r="F8" s="1269"/>
      <c r="G8" s="1269"/>
    </row>
    <row r="9" spans="1:7" ht="18">
      <c r="A9" s="113"/>
      <c r="B9" s="113"/>
      <c r="C9" s="113"/>
      <c r="D9" s="113"/>
      <c r="E9" s="113"/>
      <c r="F9" s="113"/>
      <c r="G9" s="113"/>
    </row>
    <row r="10" spans="1:7" ht="15.75">
      <c r="A10" s="39"/>
      <c r="B10" s="21" t="s">
        <v>162</v>
      </c>
      <c r="C10" s="21" t="s">
        <v>163</v>
      </c>
      <c r="D10" s="21" t="s">
        <v>164</v>
      </c>
      <c r="E10" s="21" t="s">
        <v>165</v>
      </c>
      <c r="F10" s="21" t="s">
        <v>84</v>
      </c>
      <c r="G10" s="21" t="s">
        <v>85</v>
      </c>
    </row>
    <row r="11" spans="1:7" ht="15.75">
      <c r="A11" s="39"/>
      <c r="B11" s="32"/>
      <c r="C11" s="30"/>
      <c r="D11" s="130"/>
      <c r="E11" s="131"/>
      <c r="F11" s="132" t="s">
        <v>87</v>
      </c>
      <c r="G11" s="21"/>
    </row>
    <row r="12" spans="1:7" ht="15.75">
      <c r="A12" s="34" t="s">
        <v>169</v>
      </c>
      <c r="B12" s="32"/>
      <c r="C12" s="40"/>
      <c r="D12" s="34">
        <f>+TCOS!L4</f>
        <v>2026</v>
      </c>
      <c r="E12" s="132" t="s">
        <v>87</v>
      </c>
      <c r="F12" s="34" t="s">
        <v>115</v>
      </c>
      <c r="G12" s="21"/>
    </row>
    <row r="13" spans="1:7" ht="15.75">
      <c r="A13" s="34" t="s">
        <v>106</v>
      </c>
      <c r="B13" s="34" t="s">
        <v>36</v>
      </c>
      <c r="C13" s="34" t="s">
        <v>167</v>
      </c>
      <c r="D13" s="34" t="s">
        <v>37</v>
      </c>
      <c r="E13" s="34" t="s">
        <v>89</v>
      </c>
      <c r="F13" s="34" t="s">
        <v>38</v>
      </c>
      <c r="G13" s="34" t="s">
        <v>39</v>
      </c>
    </row>
    <row r="14" spans="1:7" ht="15.75">
      <c r="A14" s="39"/>
      <c r="B14" s="34"/>
      <c r="C14" s="34"/>
      <c r="D14" s="34"/>
      <c r="E14" s="34"/>
      <c r="F14" s="34"/>
      <c r="G14" s="34"/>
    </row>
    <row r="15" spans="1:7" ht="15.75">
      <c r="A15" s="39"/>
      <c r="B15" s="34"/>
      <c r="C15" s="34"/>
      <c r="D15" s="34"/>
      <c r="E15" s="34"/>
      <c r="F15" s="34"/>
      <c r="G15" s="34"/>
    </row>
    <row r="16" spans="1:7" ht="15.75">
      <c r="A16" s="39"/>
      <c r="B16" s="34"/>
      <c r="C16" s="6"/>
      <c r="D16" s="34"/>
      <c r="E16" s="34"/>
      <c r="F16" s="34"/>
      <c r="G16" s="34"/>
    </row>
    <row r="17" spans="1:7" ht="15.75">
      <c r="A17" s="39"/>
      <c r="B17" s="34"/>
      <c r="C17" s="34" t="s">
        <v>496</v>
      </c>
      <c r="D17" s="29"/>
      <c r="E17" s="29"/>
      <c r="F17" s="29"/>
      <c r="G17" s="61"/>
    </row>
    <row r="18" spans="1:7" ht="15">
      <c r="A18" s="39">
        <v>1</v>
      </c>
      <c r="B18" s="817">
        <v>5660007</v>
      </c>
      <c r="C18" s="552" t="s">
        <v>892</v>
      </c>
      <c r="D18" s="818">
        <v>-20265048.138266556</v>
      </c>
      <c r="E18" s="45"/>
      <c r="F18" s="45"/>
      <c r="G18" s="579"/>
    </row>
    <row r="19" spans="1:7" ht="15">
      <c r="A19" s="39">
        <v>2</v>
      </c>
      <c r="B19" s="817"/>
      <c r="C19" s="552"/>
      <c r="D19" s="818"/>
      <c r="E19" s="45"/>
      <c r="F19" s="45"/>
      <c r="G19" s="28"/>
    </row>
    <row r="20" spans="1:7" ht="15">
      <c r="A20" s="39">
        <v>3</v>
      </c>
      <c r="B20" s="551"/>
      <c r="C20" s="552"/>
      <c r="D20" s="553"/>
      <c r="E20" s="45"/>
      <c r="F20" s="45"/>
      <c r="G20" s="28"/>
    </row>
    <row r="21" spans="1:7" ht="15.75">
      <c r="A21" s="39">
        <v>4</v>
      </c>
      <c r="B21" s="34"/>
      <c r="C21" s="153" t="s">
        <v>118</v>
      </c>
      <c r="D21" s="187">
        <f>SUM(D18:D19)</f>
        <v>-20265048.138266556</v>
      </c>
      <c r="E21" s="45"/>
      <c r="F21" s="45"/>
      <c r="G21" s="34"/>
    </row>
    <row r="22" spans="1:7" ht="15.75">
      <c r="A22" s="39"/>
      <c r="B22" s="34"/>
      <c r="C22" s="153"/>
      <c r="D22" s="165"/>
      <c r="E22" s="29"/>
      <c r="F22" s="29"/>
      <c r="G22" s="34"/>
    </row>
    <row r="23" spans="1:7" ht="15.75">
      <c r="A23" s="6"/>
      <c r="B23" s="34"/>
      <c r="C23" s="34" t="s">
        <v>49</v>
      </c>
      <c r="D23" s="42"/>
      <c r="E23" s="29"/>
      <c r="F23" s="29"/>
      <c r="G23" s="34"/>
    </row>
    <row r="24" spans="1:7" ht="15.75">
      <c r="A24" s="33">
        <f>+A21+1</f>
        <v>5</v>
      </c>
      <c r="B24" s="13"/>
      <c r="C24" s="161"/>
      <c r="D24" s="741"/>
      <c r="E24" s="29"/>
      <c r="F24" s="29"/>
      <c r="G24" s="34"/>
    </row>
    <row r="25" spans="1:7" ht="15.75">
      <c r="A25" s="185">
        <f>+A24+1</f>
        <v>6</v>
      </c>
      <c r="B25" s="13" t="s">
        <v>50</v>
      </c>
      <c r="C25" s="13" t="s">
        <v>51</v>
      </c>
      <c r="D25" s="553">
        <v>0</v>
      </c>
      <c r="E25" s="29"/>
      <c r="F25" s="29"/>
      <c r="G25" s="34"/>
    </row>
    <row r="26" spans="1:7" ht="15.75">
      <c r="A26" s="33">
        <f>+A25+1</f>
        <v>7</v>
      </c>
      <c r="B26" s="161" t="s">
        <v>52</v>
      </c>
      <c r="C26" s="161" t="s">
        <v>53</v>
      </c>
      <c r="D26" s="553">
        <v>2522732.3566839364</v>
      </c>
      <c r="E26" s="29"/>
      <c r="F26" s="29"/>
      <c r="G26" s="34"/>
    </row>
    <row r="27" spans="1:7" ht="15.75">
      <c r="A27" s="185">
        <f t="shared" ref="A27:A32" si="0">+A26+1</f>
        <v>8</v>
      </c>
      <c r="B27" s="13" t="s">
        <v>54</v>
      </c>
      <c r="C27" s="13" t="s">
        <v>55</v>
      </c>
      <c r="D27" s="553">
        <v>536.33684044377264</v>
      </c>
      <c r="E27" s="29"/>
      <c r="F27" s="29"/>
      <c r="G27" s="34"/>
    </row>
    <row r="28" spans="1:7" ht="15.75">
      <c r="A28" s="33">
        <f t="shared" si="0"/>
        <v>9</v>
      </c>
      <c r="B28" s="161" t="s">
        <v>56</v>
      </c>
      <c r="C28" s="161" t="s">
        <v>57</v>
      </c>
      <c r="D28" s="553">
        <v>6565631.1438945755</v>
      </c>
      <c r="E28" s="29"/>
      <c r="F28" s="29"/>
      <c r="G28" s="34"/>
    </row>
    <row r="29" spans="1:7" ht="15.75">
      <c r="A29" s="185">
        <f t="shared" si="0"/>
        <v>10</v>
      </c>
      <c r="B29" s="13" t="s">
        <v>58</v>
      </c>
      <c r="C29" s="13" t="s">
        <v>59</v>
      </c>
      <c r="D29" s="553">
        <v>511390.67187378486</v>
      </c>
      <c r="E29" s="29"/>
      <c r="F29" s="29"/>
      <c r="G29" s="34"/>
    </row>
    <row r="30" spans="1:7" ht="15.75">
      <c r="A30" s="33">
        <f t="shared" si="0"/>
        <v>11</v>
      </c>
      <c r="B30" s="161" t="s">
        <v>60</v>
      </c>
      <c r="C30" s="161" t="s">
        <v>61</v>
      </c>
      <c r="D30" s="553">
        <v>0</v>
      </c>
      <c r="E30" s="29"/>
      <c r="F30" s="29"/>
      <c r="G30" s="34"/>
    </row>
    <row r="31" spans="1:7" ht="15.75">
      <c r="A31" s="185">
        <f t="shared" si="0"/>
        <v>12</v>
      </c>
      <c r="B31" s="13" t="s">
        <v>62</v>
      </c>
      <c r="C31" s="13" t="s">
        <v>63</v>
      </c>
      <c r="D31" s="553">
        <v>0</v>
      </c>
      <c r="E31" s="29"/>
      <c r="F31" s="29"/>
      <c r="G31" s="34"/>
    </row>
    <row r="32" spans="1:7" ht="15.75">
      <c r="A32" s="33">
        <f t="shared" si="0"/>
        <v>13</v>
      </c>
      <c r="B32" s="161" t="s">
        <v>64</v>
      </c>
      <c r="C32" s="161" t="s">
        <v>65</v>
      </c>
      <c r="D32" s="553">
        <v>2118143.9442294603</v>
      </c>
      <c r="E32" s="29"/>
      <c r="F32" s="29"/>
      <c r="G32" s="34"/>
    </row>
    <row r="33" spans="1:7" ht="15.75">
      <c r="A33" s="39">
        <f>+A32+1</f>
        <v>14</v>
      </c>
      <c r="B33" s="174"/>
      <c r="C33" s="21" t="s">
        <v>66</v>
      </c>
      <c r="D33" s="175">
        <f>SUM(D24:D32)</f>
        <v>11718434.453522202</v>
      </c>
      <c r="E33" s="29"/>
      <c r="F33" s="29"/>
      <c r="G33" s="34"/>
    </row>
    <row r="34" spans="1:7" ht="15.75">
      <c r="A34" s="149"/>
      <c r="B34" s="44"/>
      <c r="C34" s="34"/>
      <c r="D34" s="34"/>
      <c r="E34" s="34"/>
      <c r="F34" s="34"/>
      <c r="G34" s="34"/>
    </row>
    <row r="35" spans="1:7" ht="15.75">
      <c r="A35" s="149"/>
      <c r="B35" s="33"/>
      <c r="C35" s="65" t="s">
        <v>212</v>
      </c>
      <c r="D35" s="30"/>
      <c r="E35" s="30"/>
      <c r="F35" s="31"/>
      <c r="G35" s="30"/>
    </row>
    <row r="36" spans="1:7" ht="15">
      <c r="A36" s="39">
        <f>+A33+1</f>
        <v>15</v>
      </c>
      <c r="B36" s="991" t="s">
        <v>893</v>
      </c>
      <c r="C36" s="992" t="s">
        <v>894</v>
      </c>
      <c r="D36" s="553">
        <v>5152.0244454892381</v>
      </c>
      <c r="E36" s="553">
        <v>3501.9365462205928</v>
      </c>
      <c r="F36" s="31">
        <v>1650.0878992686453</v>
      </c>
      <c r="G36" s="28" t="s">
        <v>114</v>
      </c>
    </row>
    <row r="37" spans="1:7" ht="15">
      <c r="A37" s="39">
        <f>+A36+1</f>
        <v>16</v>
      </c>
      <c r="B37" s="995" t="s">
        <v>950</v>
      </c>
      <c r="C37" s="992" t="s">
        <v>951</v>
      </c>
      <c r="D37" s="553">
        <v>2418643.9498238643</v>
      </c>
      <c r="E37" s="553">
        <v>2417782.6139409789</v>
      </c>
      <c r="F37" s="31">
        <v>861.33588288550993</v>
      </c>
      <c r="G37" s="28" t="s">
        <v>114</v>
      </c>
    </row>
    <row r="38" spans="1:7" ht="15">
      <c r="A38" s="39">
        <f t="shared" ref="A38:A40" si="1">+A37+1</f>
        <v>17</v>
      </c>
      <c r="B38" s="995" t="s">
        <v>952</v>
      </c>
      <c r="C38" s="992" t="s">
        <v>953</v>
      </c>
      <c r="D38" s="553">
        <v>5017520.9405620126</v>
      </c>
      <c r="E38" s="553">
        <v>4115257.9875141392</v>
      </c>
      <c r="F38" s="31">
        <v>902262.95304787369</v>
      </c>
      <c r="G38" s="28" t="s">
        <v>114</v>
      </c>
    </row>
    <row r="39" spans="1:7" ht="12.75" customHeight="1">
      <c r="A39" s="39">
        <f t="shared" si="1"/>
        <v>18</v>
      </c>
      <c r="B39" s="995" t="s">
        <v>954</v>
      </c>
      <c r="C39" s="992" t="s">
        <v>955</v>
      </c>
      <c r="D39" s="553">
        <v>143794.10983260369</v>
      </c>
      <c r="E39" s="553">
        <v>9585.0305892717442</v>
      </c>
      <c r="F39" s="31">
        <v>134209.07924333194</v>
      </c>
      <c r="G39" s="30"/>
    </row>
    <row r="40" spans="1:7" ht="12.75" customHeight="1">
      <c r="A40" s="39">
        <f t="shared" si="1"/>
        <v>19</v>
      </c>
      <c r="B40" s="995">
        <v>9280006</v>
      </c>
      <c r="C40" s="992" t="s">
        <v>1082</v>
      </c>
      <c r="D40" s="553">
        <v>4107122.7141526323</v>
      </c>
      <c r="E40" s="553">
        <v>4107122.7141526323</v>
      </c>
      <c r="F40" s="31">
        <v>0</v>
      </c>
      <c r="G40" s="30"/>
    </row>
    <row r="41" spans="1:7" ht="15.75" customHeight="1">
      <c r="A41" s="39">
        <f>+A40+1</f>
        <v>20</v>
      </c>
      <c r="B41" s="900"/>
      <c r="C41" s="901" t="s">
        <v>621</v>
      </c>
      <c r="D41" s="41">
        <f>SUM(D36:D40)</f>
        <v>11692233.738816602</v>
      </c>
      <c r="E41" s="41">
        <f>SUM(E36:E40)</f>
        <v>10653250.282743242</v>
      </c>
      <c r="F41" s="41">
        <f>SUM(F36:F40)</f>
        <v>1038983.4560733597</v>
      </c>
      <c r="G41" s="16"/>
    </row>
    <row r="42" spans="1:7" ht="12.75" customHeight="1">
      <c r="A42" s="39"/>
      <c r="B42" s="900"/>
      <c r="C42" s="902"/>
      <c r="D42" s="43"/>
      <c r="E42" s="17"/>
      <c r="F42" s="17"/>
      <c r="G42" s="30"/>
    </row>
    <row r="43" spans="1:7" ht="15.75">
      <c r="A43" s="39"/>
      <c r="B43" s="903"/>
      <c r="C43" s="65" t="s">
        <v>211</v>
      </c>
      <c r="D43" s="17"/>
      <c r="E43" s="17"/>
      <c r="F43" s="17"/>
      <c r="G43" s="30"/>
    </row>
    <row r="44" spans="1:7" ht="15">
      <c r="A44" s="39">
        <f>+A41+1</f>
        <v>21</v>
      </c>
      <c r="B44" s="991" t="s">
        <v>895</v>
      </c>
      <c r="C44" s="992" t="s">
        <v>896</v>
      </c>
      <c r="D44" s="553">
        <v>348711.39194699138</v>
      </c>
      <c r="E44" s="553">
        <v>348519.9281100565</v>
      </c>
      <c r="F44" s="31">
        <v>191.46383693487198</v>
      </c>
    </row>
    <row r="45" spans="1:7" ht="15">
      <c r="A45" s="39">
        <f>+A44+1</f>
        <v>22</v>
      </c>
      <c r="B45" s="991" t="s">
        <v>897</v>
      </c>
      <c r="C45" s="992" t="s">
        <v>898</v>
      </c>
      <c r="D45" s="553">
        <v>1072.8549618317525</v>
      </c>
      <c r="E45" s="553">
        <v>762.56797275713984</v>
      </c>
      <c r="F45" s="31">
        <v>310.28698907461268</v>
      </c>
    </row>
    <row r="46" spans="1:7" ht="15">
      <c r="A46" s="39">
        <f t="shared" ref="A46:A59" si="2">+A45+1</f>
        <v>23</v>
      </c>
      <c r="B46" s="991" t="s">
        <v>899</v>
      </c>
      <c r="C46" s="992" t="s">
        <v>900</v>
      </c>
      <c r="D46" s="553">
        <v>0</v>
      </c>
      <c r="E46" s="553">
        <v>0</v>
      </c>
      <c r="F46" s="31">
        <v>0</v>
      </c>
    </row>
    <row r="47" spans="1:7" ht="15">
      <c r="A47" s="39">
        <f t="shared" si="2"/>
        <v>24</v>
      </c>
      <c r="B47" s="991" t="s">
        <v>901</v>
      </c>
      <c r="C47" s="992" t="s">
        <v>902</v>
      </c>
      <c r="D47" s="553">
        <v>0</v>
      </c>
      <c r="E47" s="553">
        <v>0</v>
      </c>
      <c r="F47" s="31">
        <v>0</v>
      </c>
    </row>
    <row r="48" spans="1:7" ht="15">
      <c r="A48" s="39">
        <f>+A47+1</f>
        <v>25</v>
      </c>
      <c r="B48" s="991" t="s">
        <v>903</v>
      </c>
      <c r="C48" s="992" t="s">
        <v>904</v>
      </c>
      <c r="D48" s="553">
        <v>9646.7129111636314</v>
      </c>
      <c r="E48" s="553">
        <v>9646.7129111636314</v>
      </c>
      <c r="F48" s="31">
        <v>0</v>
      </c>
    </row>
    <row r="49" spans="1:7" ht="15">
      <c r="A49" s="39">
        <f t="shared" si="2"/>
        <v>26</v>
      </c>
      <c r="B49" s="991" t="s">
        <v>905</v>
      </c>
      <c r="C49" s="992" t="s">
        <v>906</v>
      </c>
      <c r="D49" s="553">
        <v>1580.0285517010077</v>
      </c>
      <c r="E49" s="553">
        <v>1580.0285517010077</v>
      </c>
      <c r="F49" s="31">
        <v>0</v>
      </c>
    </row>
    <row r="50" spans="1:7" ht="15">
      <c r="A50" s="39">
        <f t="shared" si="2"/>
        <v>27</v>
      </c>
      <c r="B50" s="991" t="s">
        <v>1083</v>
      </c>
      <c r="C50" s="992" t="s">
        <v>1084</v>
      </c>
      <c r="D50" s="553">
        <v>0</v>
      </c>
      <c r="E50" s="553">
        <v>0</v>
      </c>
      <c r="F50" s="31">
        <v>0</v>
      </c>
    </row>
    <row r="51" spans="1:7" ht="15">
      <c r="A51" s="39">
        <f t="shared" si="2"/>
        <v>28</v>
      </c>
      <c r="B51" s="991" t="s">
        <v>907</v>
      </c>
      <c r="C51" s="992" t="s">
        <v>908</v>
      </c>
      <c r="D51" s="553">
        <v>99645.814673271627</v>
      </c>
      <c r="E51" s="553">
        <v>99642.396177919611</v>
      </c>
      <c r="F51" s="31">
        <v>3.418495352014296</v>
      </c>
    </row>
    <row r="52" spans="1:7" ht="15">
      <c r="A52" s="39">
        <f>A51+1</f>
        <v>29</v>
      </c>
      <c r="B52" s="991" t="s">
        <v>909</v>
      </c>
      <c r="C52" s="992" t="s">
        <v>910</v>
      </c>
      <c r="D52" s="553">
        <v>0</v>
      </c>
      <c r="E52" s="553">
        <v>0</v>
      </c>
      <c r="F52" s="31">
        <v>0</v>
      </c>
    </row>
    <row r="53" spans="1:7" ht="15">
      <c r="A53" s="39">
        <f>A52+1</f>
        <v>30</v>
      </c>
      <c r="B53" s="991" t="s">
        <v>911</v>
      </c>
      <c r="C53" s="992" t="s">
        <v>912</v>
      </c>
      <c r="D53" s="553">
        <v>850.82134728325138</v>
      </c>
      <c r="E53" s="553">
        <v>850.82134728325138</v>
      </c>
      <c r="F53" s="31">
        <v>0</v>
      </c>
    </row>
    <row r="54" spans="1:7" ht="15">
      <c r="A54" s="39">
        <f>A53+1</f>
        <v>31</v>
      </c>
      <c r="B54" s="991" t="s">
        <v>913</v>
      </c>
      <c r="C54" s="992" t="s">
        <v>914</v>
      </c>
      <c r="D54" s="553">
        <v>0</v>
      </c>
      <c r="E54" s="553">
        <v>0</v>
      </c>
      <c r="F54" s="31">
        <v>0</v>
      </c>
    </row>
    <row r="55" spans="1:7" ht="15">
      <c r="A55" s="39">
        <f>A54+1</f>
        <v>32</v>
      </c>
      <c r="B55" s="817"/>
      <c r="C55" s="552"/>
      <c r="D55" s="553"/>
      <c r="E55" s="553"/>
      <c r="F55" s="31"/>
    </row>
    <row r="56" spans="1:7" ht="15">
      <c r="A56" s="39">
        <f t="shared" si="2"/>
        <v>33</v>
      </c>
      <c r="B56" s="817"/>
      <c r="C56" s="552"/>
      <c r="D56" s="553"/>
      <c r="E56" s="553"/>
      <c r="F56" s="31"/>
    </row>
    <row r="57" spans="1:7" ht="15">
      <c r="A57" s="39">
        <f t="shared" si="2"/>
        <v>34</v>
      </c>
      <c r="B57" s="817"/>
      <c r="C57" s="552"/>
      <c r="D57" s="553"/>
      <c r="E57" s="553"/>
      <c r="F57" s="31"/>
      <c r="G57" s="30"/>
    </row>
    <row r="58" spans="1:7" ht="15">
      <c r="A58" s="39">
        <f t="shared" si="2"/>
        <v>35</v>
      </c>
      <c r="B58" s="817"/>
      <c r="C58" s="552"/>
      <c r="D58" s="553"/>
      <c r="E58" s="553"/>
      <c r="F58" s="31"/>
      <c r="G58" s="30"/>
    </row>
    <row r="59" spans="1:7" ht="15">
      <c r="A59" s="39">
        <f t="shared" si="2"/>
        <v>36</v>
      </c>
      <c r="B59" s="817"/>
      <c r="C59" s="552"/>
      <c r="D59" s="553"/>
      <c r="E59" s="553"/>
      <c r="F59" s="31"/>
      <c r="G59" s="30"/>
    </row>
    <row r="60" spans="1:7" ht="15">
      <c r="A60" s="39"/>
      <c r="B60" s="904"/>
      <c r="C60" s="905"/>
      <c r="D60" s="35"/>
      <c r="E60" s="36"/>
      <c r="F60" s="35"/>
      <c r="G60" s="30"/>
    </row>
    <row r="61" spans="1:7" ht="15.75">
      <c r="A61" s="39">
        <f>A59+1</f>
        <v>37</v>
      </c>
      <c r="B61" s="900"/>
      <c r="C61" s="901" t="s">
        <v>622</v>
      </c>
      <c r="D61" s="37">
        <f>SUM(D44:D60)</f>
        <v>461507.62439224264</v>
      </c>
      <c r="E61" s="37">
        <f>SUM(E44:E60)</f>
        <v>461002.45507088111</v>
      </c>
      <c r="F61" s="37">
        <f>SUM(F44:F60)</f>
        <v>505.16932136149893</v>
      </c>
      <c r="G61" s="16"/>
    </row>
    <row r="62" spans="1:7" ht="12.75" customHeight="1">
      <c r="A62" s="39"/>
      <c r="B62" s="2"/>
      <c r="C62" s="2"/>
      <c r="D62" s="23"/>
      <c r="E62" s="23"/>
      <c r="F62" s="23"/>
      <c r="G62" s="23"/>
    </row>
    <row r="63" spans="1:7" ht="15.75">
      <c r="A63" s="39"/>
      <c r="B63" s="906"/>
      <c r="C63" s="65" t="s">
        <v>210</v>
      </c>
      <c r="D63" s="38"/>
      <c r="E63" s="38"/>
      <c r="F63" s="38"/>
      <c r="G63" s="21"/>
    </row>
    <row r="64" spans="1:7" ht="15">
      <c r="A64" s="39">
        <f>+A61+1</f>
        <v>38</v>
      </c>
      <c r="B64" s="991" t="s">
        <v>915</v>
      </c>
      <c r="C64" s="992" t="s">
        <v>916</v>
      </c>
      <c r="D64" s="553">
        <v>1185726.0663876287</v>
      </c>
      <c r="E64" s="553">
        <v>904857.13105920958</v>
      </c>
      <c r="F64" s="997">
        <v>280868.93532841915</v>
      </c>
      <c r="G64" s="15"/>
    </row>
    <row r="65" spans="1:7" ht="15">
      <c r="A65" s="39">
        <f>+A64+1</f>
        <v>39</v>
      </c>
      <c r="B65" s="991" t="s">
        <v>917</v>
      </c>
      <c r="C65" s="992" t="s">
        <v>918</v>
      </c>
      <c r="D65" s="553">
        <v>311214.81513512047</v>
      </c>
      <c r="E65" s="553">
        <v>259714.57977409963</v>
      </c>
      <c r="F65" s="997">
        <v>51500.235361020852</v>
      </c>
      <c r="G65" s="15"/>
    </row>
    <row r="66" spans="1:7" ht="15">
      <c r="A66" s="39">
        <f>+A65+1</f>
        <v>40</v>
      </c>
      <c r="B66" s="991" t="s">
        <v>919</v>
      </c>
      <c r="C66" s="992" t="s">
        <v>920</v>
      </c>
      <c r="D66" s="553">
        <v>2242.5780444808306</v>
      </c>
      <c r="E66" s="553">
        <v>1564.6133057241898</v>
      </c>
      <c r="F66" s="997">
        <v>677.96473875664083</v>
      </c>
      <c r="G66" s="15"/>
    </row>
    <row r="67" spans="1:7" ht="15">
      <c r="A67" s="39">
        <f t="shared" ref="A67:A68" si="3">+A66+1</f>
        <v>41</v>
      </c>
      <c r="B67" s="991" t="s">
        <v>921</v>
      </c>
      <c r="C67" s="992" t="s">
        <v>1085</v>
      </c>
      <c r="D67" s="553">
        <v>199871.15340942712</v>
      </c>
      <c r="E67" s="553">
        <v>199871.15340942712</v>
      </c>
      <c r="F67" s="997">
        <v>0</v>
      </c>
      <c r="G67" s="15"/>
    </row>
    <row r="68" spans="1:7" ht="15">
      <c r="A68" s="39">
        <f t="shared" si="3"/>
        <v>42</v>
      </c>
      <c r="B68" s="991" t="s">
        <v>922</v>
      </c>
      <c r="C68" s="992" t="s">
        <v>923</v>
      </c>
      <c r="D68" s="553">
        <v>9287840.9460792691</v>
      </c>
      <c r="E68" s="553">
        <v>2542858.553432269</v>
      </c>
      <c r="F68" s="997">
        <v>6744982.392647</v>
      </c>
      <c r="G68" s="15"/>
    </row>
    <row r="69" spans="1:7" ht="15">
      <c r="A69" s="39"/>
      <c r="B69" s="188"/>
      <c r="C69" s="190"/>
      <c r="D69" s="190"/>
      <c r="E69" s="23"/>
      <c r="F69" s="23"/>
      <c r="G69" s="23"/>
    </row>
    <row r="70" spans="1:7" ht="15.75">
      <c r="A70" s="39">
        <f>A68+1</f>
        <v>43</v>
      </c>
      <c r="B70" s="23"/>
      <c r="C70" s="742" t="s">
        <v>623</v>
      </c>
      <c r="D70" s="189">
        <f>SUM(D64:D68)</f>
        <v>10986895.559055926</v>
      </c>
      <c r="E70" s="189">
        <f>SUM(E64:E68)</f>
        <v>3908866.0309807295</v>
      </c>
      <c r="F70" s="189">
        <f>SUM(F64:F68)</f>
        <v>7078029.5280751968</v>
      </c>
      <c r="G70" s="16"/>
    </row>
  </sheetData>
  <mergeCells count="6">
    <mergeCell ref="A3:G3"/>
    <mergeCell ref="A8:G8"/>
    <mergeCell ref="A7:F7"/>
    <mergeCell ref="A4:G4"/>
    <mergeCell ref="A5:G5"/>
    <mergeCell ref="A6:G6"/>
  </mergeCells>
  <phoneticPr fontId="0" type="noConversion"/>
  <pageMargins left="0.44" right="0.52" top="1" bottom="0.67" header="0.75" footer="0.4"/>
  <pageSetup scale="52"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H257"/>
  <sheetViews>
    <sheetView view="pageBreakPreview" zoomScaleNormal="100" zoomScaleSheetLayoutView="100" workbookViewId="0">
      <selection activeCell="E10" sqref="E10"/>
    </sheetView>
  </sheetViews>
  <sheetFormatPr defaultRowHeight="12.75" customHeight="1"/>
  <cols>
    <col min="2" max="2" width="32.5703125" customWidth="1"/>
    <col min="5" max="5" width="15" customWidth="1"/>
    <col min="6" max="6" width="12.85546875" bestFit="1" customWidth="1"/>
    <col min="7" max="7" width="10.85546875" customWidth="1"/>
    <col min="8" max="8" width="2.85546875" customWidth="1"/>
    <col min="9" max="15" width="9.140625" customWidth="1"/>
  </cols>
  <sheetData>
    <row r="1" spans="1:8" ht="15.75">
      <c r="A1" s="581"/>
    </row>
    <row r="2" spans="1:8" ht="15.75">
      <c r="A2" s="581"/>
    </row>
    <row r="3" spans="1:8" ht="15">
      <c r="A3" s="1235" t="s">
        <v>387</v>
      </c>
      <c r="B3" s="1235"/>
      <c r="C3" s="1235"/>
      <c r="D3" s="1235"/>
      <c r="E3" s="1235"/>
      <c r="F3" s="1235"/>
      <c r="G3" s="1235"/>
      <c r="H3" s="1235"/>
    </row>
    <row r="4" spans="1:8" ht="15">
      <c r="A4" s="1236" t="str">
        <f>"Cost of Service Formula Rate Using Actual/Projected FF1 Balances"</f>
        <v>Cost of Service Formula Rate Using Actual/Projected FF1 Balances</v>
      </c>
      <c r="B4" s="1236"/>
      <c r="C4" s="1236"/>
      <c r="D4" s="1236"/>
      <c r="E4" s="1236"/>
      <c r="F4" s="1236"/>
      <c r="G4" s="1236"/>
      <c r="H4" s="1236"/>
    </row>
    <row r="5" spans="1:8" ht="15">
      <c r="A5" s="1236" t="s">
        <v>527</v>
      </c>
      <c r="B5" s="1236"/>
      <c r="C5" s="1236"/>
      <c r="D5" s="1236"/>
      <c r="E5" s="1236"/>
      <c r="F5" s="1236"/>
      <c r="G5" s="1236"/>
      <c r="H5" s="1236"/>
    </row>
    <row r="6" spans="1:8" ht="15">
      <c r="A6" s="1247" t="str">
        <f>TCOS!F9</f>
        <v>Appalachian Power Company</v>
      </c>
      <c r="B6" s="1247"/>
      <c r="C6" s="1247"/>
      <c r="D6" s="1247"/>
      <c r="E6" s="1247"/>
      <c r="F6" s="1247"/>
      <c r="G6" s="1247"/>
    </row>
    <row r="7" spans="1:8" ht="12.75" customHeight="1">
      <c r="A7" s="11"/>
      <c r="B7" s="12"/>
      <c r="C7" s="12"/>
      <c r="D7" s="12"/>
      <c r="E7" s="12"/>
      <c r="F7" s="12"/>
      <c r="G7" s="12"/>
      <c r="H7" s="12"/>
    </row>
    <row r="8" spans="1:8" ht="12.75" customHeight="1">
      <c r="A8" s="11"/>
      <c r="B8" s="24"/>
      <c r="C8" s="2"/>
      <c r="D8" s="2"/>
      <c r="E8" s="2"/>
      <c r="F8" s="2"/>
    </row>
    <row r="9" spans="1:8" ht="12.75" customHeight="1">
      <c r="A9" s="11"/>
      <c r="B9" s="2" t="s">
        <v>1158</v>
      </c>
      <c r="C9" s="22"/>
      <c r="D9" s="25"/>
      <c r="E9" s="897">
        <v>6.5000000000000002E-2</v>
      </c>
      <c r="F9" s="2"/>
    </row>
    <row r="10" spans="1:8" ht="12.75" customHeight="1">
      <c r="A10" s="11"/>
      <c r="B10" s="2" t="s">
        <v>1171</v>
      </c>
      <c r="C10" s="22"/>
      <c r="D10" s="22"/>
      <c r="E10" s="898">
        <v>3.7000000000000002E-3</v>
      </c>
      <c r="F10" s="2"/>
    </row>
    <row r="11" spans="1:8" ht="12.75" customHeight="1">
      <c r="A11" s="11"/>
      <c r="B11" s="2" t="s">
        <v>448</v>
      </c>
      <c r="C11" s="22"/>
      <c r="D11" s="22"/>
      <c r="E11" s="899"/>
      <c r="F11" s="26">
        <f>ROUND(E9*E10,6)</f>
        <v>2.41E-4</v>
      </c>
    </row>
    <row r="12" spans="1:8" ht="12.75" customHeight="1">
      <c r="A12" s="11"/>
      <c r="B12" s="2"/>
      <c r="C12" s="22"/>
      <c r="D12" s="22"/>
      <c r="E12" s="899"/>
      <c r="F12" s="26"/>
    </row>
    <row r="13" spans="1:8" ht="12.75" customHeight="1">
      <c r="A13" s="11"/>
      <c r="B13" s="2" t="s">
        <v>1153</v>
      </c>
      <c r="C13" s="22"/>
      <c r="D13" s="22"/>
      <c r="E13" s="897">
        <v>0.02</v>
      </c>
      <c r="F13" s="2"/>
    </row>
    <row r="14" spans="1:8" ht="12.75" customHeight="1">
      <c r="A14" s="11"/>
      <c r="B14" s="2" t="s">
        <v>1171</v>
      </c>
      <c r="C14" s="22"/>
      <c r="D14" s="22"/>
      <c r="E14" s="898">
        <v>0</v>
      </c>
      <c r="F14" s="2"/>
    </row>
    <row r="15" spans="1:8" ht="12.75" customHeight="1">
      <c r="A15" s="11"/>
      <c r="B15" s="2" t="s">
        <v>448</v>
      </c>
      <c r="C15" s="22"/>
      <c r="D15" s="22"/>
      <c r="E15" s="899"/>
      <c r="F15" s="26">
        <f>ROUND(E13*E14,6)</f>
        <v>0</v>
      </c>
    </row>
    <row r="16" spans="1:8" ht="12.75" customHeight="1">
      <c r="A16" s="11"/>
      <c r="B16" s="2"/>
      <c r="C16" s="22"/>
      <c r="D16" s="22"/>
      <c r="E16" s="899"/>
      <c r="F16" s="26"/>
    </row>
    <row r="17" spans="1:6" ht="12.75" customHeight="1">
      <c r="A17" s="11"/>
      <c r="B17" s="2" t="s">
        <v>1157</v>
      </c>
      <c r="C17" s="22"/>
      <c r="D17" s="25"/>
      <c r="E17" s="897">
        <v>6.5000000000000002E-2</v>
      </c>
      <c r="F17" s="2"/>
    </row>
    <row r="18" spans="1:6" ht="12.75" customHeight="1">
      <c r="A18" s="11"/>
      <c r="B18" s="2" t="s">
        <v>1171</v>
      </c>
      <c r="C18" s="22"/>
      <c r="D18" s="22"/>
      <c r="E18" s="898">
        <v>0.43569999999999998</v>
      </c>
      <c r="F18" s="2"/>
    </row>
    <row r="19" spans="1:6" ht="12.75" customHeight="1">
      <c r="A19" s="11"/>
      <c r="B19" s="2" t="s">
        <v>448</v>
      </c>
      <c r="C19" s="22"/>
      <c r="D19" s="22"/>
      <c r="E19" s="899"/>
      <c r="F19" s="26">
        <f>ROUND(E17*E18,6)</f>
        <v>2.8320999999999999E-2</v>
      </c>
    </row>
    <row r="20" spans="1:6" ht="12.75" customHeight="1">
      <c r="A20" s="11"/>
      <c r="B20" s="2"/>
      <c r="C20" s="22"/>
      <c r="D20" s="22"/>
      <c r="E20" s="899"/>
      <c r="F20" s="26"/>
    </row>
    <row r="21" spans="1:6" ht="12.75" customHeight="1">
      <c r="A21" s="11"/>
      <c r="B21" s="2" t="s">
        <v>1159</v>
      </c>
      <c r="C21" s="22"/>
      <c r="D21" s="25"/>
      <c r="E21" s="897">
        <v>0</v>
      </c>
      <c r="F21" s="2"/>
    </row>
    <row r="22" spans="1:6" ht="12.75" customHeight="1">
      <c r="A22" s="11"/>
      <c r="B22" s="2" t="s">
        <v>1171</v>
      </c>
      <c r="C22" s="22"/>
      <c r="D22" s="22"/>
      <c r="E22" s="898">
        <v>0.46560000000000001</v>
      </c>
      <c r="F22" s="2"/>
    </row>
    <row r="23" spans="1:6" ht="12.75" customHeight="1">
      <c r="A23" s="11"/>
      <c r="B23" s="2" t="s">
        <v>448</v>
      </c>
      <c r="C23" s="22"/>
      <c r="D23" s="22"/>
      <c r="E23" s="899"/>
      <c r="F23" s="26">
        <f>ROUND(E21*E22,6)</f>
        <v>0</v>
      </c>
    </row>
    <row r="24" spans="1:6" ht="12.75" customHeight="1">
      <c r="A24" s="11"/>
      <c r="B24" s="2"/>
      <c r="C24" s="22"/>
      <c r="D24" s="22"/>
      <c r="E24" s="899"/>
      <c r="F24" s="26"/>
    </row>
    <row r="25" spans="1:6" ht="12.75" customHeight="1">
      <c r="A25" s="11"/>
      <c r="B25" s="2" t="s">
        <v>924</v>
      </c>
      <c r="C25" s="22"/>
      <c r="D25" s="25"/>
      <c r="E25" s="897">
        <v>0</v>
      </c>
      <c r="F25" s="27"/>
    </row>
    <row r="26" spans="1:6" ht="12.75" customHeight="1">
      <c r="A26" s="11"/>
      <c r="B26" s="2" t="s">
        <v>925</v>
      </c>
      <c r="C26" s="22"/>
      <c r="D26" s="25"/>
      <c r="E26" s="897">
        <v>0</v>
      </c>
      <c r="F26" s="27"/>
    </row>
    <row r="27" spans="1:6" ht="12.75" customHeight="1">
      <c r="A27" s="11"/>
      <c r="B27" s="2" t="s">
        <v>1171</v>
      </c>
      <c r="C27" s="22"/>
      <c r="D27" s="22"/>
      <c r="E27" s="898">
        <v>0</v>
      </c>
      <c r="F27" s="27"/>
    </row>
    <row r="28" spans="1:6" ht="12.75" customHeight="1">
      <c r="A28" s="11"/>
      <c r="B28" s="2" t="s">
        <v>448</v>
      </c>
      <c r="C28" s="22"/>
      <c r="D28" s="22"/>
      <c r="E28" s="899"/>
      <c r="F28" s="26">
        <f>+E25*E26*E27</f>
        <v>0</v>
      </c>
    </row>
    <row r="29" spans="1:6" ht="12.75" customHeight="1">
      <c r="A29" s="11"/>
      <c r="B29" s="2"/>
      <c r="C29" s="22"/>
      <c r="D29" s="22"/>
      <c r="E29" s="899"/>
      <c r="F29" s="26"/>
    </row>
    <row r="30" spans="1:6" ht="12.75" customHeight="1">
      <c r="A30" s="11"/>
      <c r="B30" s="2" t="s">
        <v>1156</v>
      </c>
      <c r="C30" s="22"/>
      <c r="D30" s="25"/>
      <c r="E30" s="897">
        <v>0.06</v>
      </c>
      <c r="F30" s="2"/>
    </row>
    <row r="31" spans="1:6" ht="12.75" customHeight="1">
      <c r="A31" s="11"/>
      <c r="B31" s="2" t="s">
        <v>1171</v>
      </c>
      <c r="C31" s="22"/>
      <c r="D31" s="22"/>
      <c r="E31" s="898">
        <v>0</v>
      </c>
      <c r="F31" s="2"/>
    </row>
    <row r="32" spans="1:6" ht="12.75" customHeight="1">
      <c r="A32" s="11"/>
      <c r="B32" s="2" t="s">
        <v>448</v>
      </c>
      <c r="C32" s="22"/>
      <c r="D32" s="22"/>
      <c r="E32" s="899"/>
      <c r="F32" s="26">
        <f>ROUND(E30*E31,6)</f>
        <v>0</v>
      </c>
    </row>
    <row r="33" spans="1:7" ht="12.75" customHeight="1">
      <c r="A33" s="11"/>
      <c r="B33" s="2"/>
      <c r="C33" s="22"/>
      <c r="D33" s="22"/>
      <c r="E33" s="899"/>
      <c r="F33" s="26"/>
    </row>
    <row r="34" spans="1:7" ht="12.75" customHeight="1">
      <c r="A34" s="11"/>
      <c r="B34" s="2" t="s">
        <v>1155</v>
      </c>
      <c r="C34" s="22"/>
      <c r="D34" s="25"/>
      <c r="E34" s="897">
        <v>9.5000000000000001E-2</v>
      </c>
      <c r="F34" s="2"/>
    </row>
    <row r="35" spans="1:7" ht="12.75" customHeight="1">
      <c r="A35" s="11"/>
      <c r="B35" s="2" t="s">
        <v>1171</v>
      </c>
      <c r="C35" s="22"/>
      <c r="D35" s="22"/>
      <c r="E35" s="898">
        <v>0</v>
      </c>
      <c r="F35" s="2"/>
    </row>
    <row r="36" spans="1:7" ht="12.75" customHeight="1">
      <c r="A36" s="11"/>
      <c r="B36" s="2" t="s">
        <v>448</v>
      </c>
      <c r="C36" s="22"/>
      <c r="D36" s="22"/>
      <c r="E36" s="2"/>
      <c r="F36" s="26">
        <f>ROUND(E34*E35,6)</f>
        <v>0</v>
      </c>
    </row>
    <row r="37" spans="1:7" ht="12.75" customHeight="1">
      <c r="A37" s="11"/>
      <c r="B37" s="4"/>
    </row>
    <row r="38" spans="1:7" ht="12.75" customHeight="1">
      <c r="A38" s="11"/>
      <c r="B38" s="2" t="s">
        <v>1154</v>
      </c>
      <c r="E38" s="897">
        <v>0.05</v>
      </c>
    </row>
    <row r="39" spans="1:7" ht="12.75" customHeight="1">
      <c r="A39" s="11"/>
      <c r="B39" s="2" t="s">
        <v>1171</v>
      </c>
      <c r="E39" s="898">
        <v>2.0000000000000001E-4</v>
      </c>
    </row>
    <row r="40" spans="1:7" ht="12.75" customHeight="1">
      <c r="A40" s="11"/>
      <c r="B40" s="2" t="s">
        <v>448</v>
      </c>
      <c r="F40" s="26">
        <f>ROUND(E38*E39,6)</f>
        <v>1.0000000000000001E-5</v>
      </c>
    </row>
    <row r="41" spans="1:7" ht="12.75" customHeight="1">
      <c r="A41" s="11"/>
      <c r="B41" s="4"/>
    </row>
    <row r="42" spans="1:7" ht="12.75" customHeight="1">
      <c r="A42" s="11"/>
      <c r="B42" s="2"/>
      <c r="C42" s="22"/>
      <c r="D42" s="22"/>
      <c r="E42" s="22"/>
      <c r="F42" s="27"/>
    </row>
    <row r="43" spans="1:7" ht="15.75" thickBot="1">
      <c r="A43" s="1"/>
      <c r="B43" s="2" t="s">
        <v>203</v>
      </c>
      <c r="C43" s="2"/>
      <c r="D43" s="2"/>
      <c r="E43" s="2"/>
      <c r="F43" s="92">
        <f>SUM(F11:F40)</f>
        <v>2.8572E-2</v>
      </c>
    </row>
    <row r="44" spans="1:7" ht="13.5" thickTop="1">
      <c r="A44" s="1"/>
    </row>
    <row r="45" spans="1:7">
      <c r="A45" s="1"/>
    </row>
    <row r="46" spans="1:7" ht="12.75" customHeight="1">
      <c r="A46" s="1"/>
      <c r="C46" s="2"/>
      <c r="D46" s="2"/>
      <c r="E46" s="2"/>
      <c r="F46" s="2"/>
    </row>
    <row r="47" spans="1:7" ht="21.75" customHeight="1">
      <c r="A47" s="2"/>
      <c r="B47" s="1271" t="s">
        <v>114</v>
      </c>
      <c r="C47" s="1271"/>
      <c r="D47" s="1271"/>
      <c r="E47" s="1271"/>
      <c r="F47" s="1271"/>
      <c r="G47" s="1271"/>
    </row>
    <row r="48" spans="1:7" ht="12.75" customHeight="1">
      <c r="B48" s="1271"/>
      <c r="C48" s="1271"/>
      <c r="D48" s="1271"/>
      <c r="E48" s="1271"/>
      <c r="F48" s="1271"/>
      <c r="G48" s="1271"/>
    </row>
    <row r="49" spans="1:7" ht="17.25" customHeight="1">
      <c r="B49" s="1271"/>
      <c r="C49" s="1271"/>
      <c r="D49" s="1271"/>
      <c r="E49" s="1271"/>
      <c r="F49" s="1271"/>
      <c r="G49" s="1271"/>
    </row>
    <row r="50" spans="1:7" ht="18" customHeight="1">
      <c r="A50" s="4" t="s">
        <v>499</v>
      </c>
      <c r="B50" s="4" t="s">
        <v>75</v>
      </c>
      <c r="C50" s="4"/>
      <c r="D50" s="4"/>
      <c r="E50" s="4"/>
      <c r="F50" s="4"/>
      <c r="G50" s="4"/>
    </row>
    <row r="257" spans="2:2">
      <c r="B257" t="s">
        <v>114</v>
      </c>
    </row>
  </sheetData>
  <mergeCells count="5">
    <mergeCell ref="B47:G49"/>
    <mergeCell ref="A6:G6"/>
    <mergeCell ref="A3:H3"/>
    <mergeCell ref="A4:H4"/>
    <mergeCell ref="A5:H5"/>
  </mergeCells>
  <phoneticPr fontId="0" type="noConversion"/>
  <pageMargins left="0.26" right="1.28" top="1" bottom="1" header="0.75" footer="0.5"/>
  <pageSetup scale="89" orientation="portrait" r:id="rId1"/>
  <headerFooter alignWithMargins="0">
    <oddHeader>&amp;R&amp;"Arial,Bold"Formula Rate 
&amp;A
Page &amp;P of &amp;N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M80"/>
  <sheetViews>
    <sheetView topLeftCell="A3" zoomScale="55" zoomScaleNormal="55" workbookViewId="0">
      <selection activeCell="E61" sqref="E61"/>
    </sheetView>
  </sheetViews>
  <sheetFormatPr defaultRowHeight="12.75" customHeight="1"/>
  <cols>
    <col min="1" max="1" width="7.28515625" customWidth="1"/>
    <col min="2" max="2" width="1.7109375" customWidth="1"/>
    <col min="3" max="3" width="62.42578125" customWidth="1"/>
    <col min="4" max="4" width="19.140625" customWidth="1"/>
    <col min="5" max="5" width="22.7109375" customWidth="1"/>
    <col min="6" max="6" width="1.7109375" customWidth="1"/>
    <col min="7" max="7" width="21.85546875" customWidth="1"/>
    <col min="8" max="8" width="1.7109375" customWidth="1"/>
    <col min="9" max="9" width="21.42578125" customWidth="1"/>
    <col min="10" max="10" width="1.7109375" customWidth="1"/>
    <col min="11" max="11" width="19.42578125" bestFit="1" customWidth="1"/>
    <col min="12" max="12" width="3.42578125" customWidth="1"/>
    <col min="13" max="13" width="22.5703125" customWidth="1"/>
    <col min="14" max="15" width="9.140625" customWidth="1"/>
  </cols>
  <sheetData>
    <row r="1" spans="1:13" ht="15.75">
      <c r="A1" s="581"/>
      <c r="B1" s="72"/>
      <c r="C1" s="72"/>
      <c r="D1" s="72"/>
      <c r="E1" s="79"/>
      <c r="F1" s="72"/>
      <c r="G1" s="72"/>
      <c r="H1" s="72"/>
      <c r="I1" s="72"/>
      <c r="J1" s="72"/>
      <c r="K1" s="72"/>
      <c r="L1" s="72"/>
      <c r="M1" s="72"/>
    </row>
    <row r="2" spans="1:13" ht="15.75">
      <c r="A2" s="581"/>
      <c r="B2" s="72"/>
      <c r="C2" s="72"/>
      <c r="D2" s="72"/>
      <c r="E2" s="79"/>
      <c r="F2" s="72"/>
      <c r="G2" s="72"/>
      <c r="H2" s="72"/>
      <c r="I2" s="72"/>
      <c r="J2" s="72"/>
      <c r="K2" s="72"/>
      <c r="L2" s="72"/>
      <c r="M2" s="72"/>
    </row>
    <row r="3" spans="1:13" ht="18.75" customHeight="1">
      <c r="A3" s="1235" t="s">
        <v>387</v>
      </c>
      <c r="B3" s="1235"/>
      <c r="C3" s="1235"/>
      <c r="D3" s="1235"/>
      <c r="E3" s="1235"/>
      <c r="F3" s="1235"/>
      <c r="G3" s="1235"/>
      <c r="H3" s="1235"/>
      <c r="I3" s="1235"/>
      <c r="J3" s="1235"/>
      <c r="K3" s="1235"/>
      <c r="L3" s="1235"/>
      <c r="M3" s="1235"/>
    </row>
    <row r="4" spans="1:13" ht="18.75" customHeight="1">
      <c r="A4" s="1236" t="str">
        <f>"Cost of Service Formula Rate Using Actual/Projected FF1 Balances"</f>
        <v>Cost of Service Formula Rate Using Actual/Projected FF1 Balances</v>
      </c>
      <c r="B4" s="1236"/>
      <c r="C4" s="1236"/>
      <c r="D4" s="1236"/>
      <c r="E4" s="1236"/>
      <c r="F4" s="1236"/>
      <c r="G4" s="1236"/>
      <c r="H4" s="1236"/>
      <c r="I4" s="1236"/>
      <c r="J4" s="1236"/>
      <c r="K4" s="1236"/>
      <c r="L4" s="1236"/>
      <c r="M4" s="1236"/>
    </row>
    <row r="5" spans="1:13" ht="18.75" customHeight="1">
      <c r="A5" s="1236" t="s">
        <v>238</v>
      </c>
      <c r="B5" s="1236"/>
      <c r="C5" s="1236"/>
      <c r="D5" s="1236"/>
      <c r="E5" s="1236"/>
      <c r="F5" s="1236"/>
      <c r="G5" s="1236"/>
      <c r="H5" s="1236"/>
      <c r="I5" s="1236"/>
      <c r="J5" s="1236"/>
      <c r="K5" s="1236"/>
      <c r="L5" s="1236"/>
      <c r="M5" s="1236"/>
    </row>
    <row r="6" spans="1:13" ht="18.75" customHeight="1">
      <c r="A6" s="1237" t="str">
        <f>+TCOS!F9</f>
        <v>Appalachian Power Company</v>
      </c>
      <c r="B6" s="1237"/>
      <c r="C6" s="1237"/>
      <c r="D6" s="1237"/>
      <c r="E6" s="1237"/>
      <c r="F6" s="1237"/>
      <c r="G6" s="1237"/>
      <c r="H6" s="1237"/>
      <c r="I6" s="1237"/>
      <c r="J6" s="1237"/>
      <c r="K6" s="1237"/>
      <c r="L6" s="1237"/>
      <c r="M6" s="1237"/>
    </row>
    <row r="7" spans="1:13" ht="18" customHeight="1">
      <c r="A7" s="1247"/>
      <c r="B7" s="1247"/>
      <c r="C7" s="1247"/>
      <c r="D7" s="1247"/>
      <c r="E7" s="1247"/>
      <c r="F7" s="1247"/>
      <c r="G7" s="1247"/>
      <c r="H7" s="1247"/>
      <c r="I7" s="1247"/>
      <c r="J7" s="1247"/>
      <c r="K7" s="1247"/>
      <c r="L7" s="1247"/>
      <c r="M7" s="1247"/>
    </row>
    <row r="8" spans="1:13" ht="18" customHeight="1">
      <c r="A8" s="1269"/>
      <c r="B8" s="1269"/>
      <c r="C8" s="1269"/>
      <c r="D8" s="1269"/>
      <c r="E8" s="1269"/>
      <c r="F8" s="1269"/>
      <c r="G8" s="1269"/>
      <c r="H8" s="1269"/>
      <c r="I8" s="1269"/>
      <c r="J8" s="1269"/>
      <c r="K8" s="1269"/>
      <c r="L8" s="1269"/>
      <c r="M8" s="1269"/>
    </row>
    <row r="9" spans="1:13" ht="18" customHeight="1">
      <c r="A9" s="113"/>
      <c r="B9" s="113"/>
      <c r="C9" s="113"/>
      <c r="D9" s="113"/>
      <c r="E9" s="113"/>
      <c r="F9" s="113"/>
      <c r="G9" s="113"/>
      <c r="H9" s="113"/>
      <c r="I9" s="113"/>
      <c r="J9" s="113"/>
      <c r="K9" s="113"/>
      <c r="L9" s="113"/>
      <c r="M9" s="113"/>
    </row>
    <row r="10" spans="1:13" ht="19.5" customHeight="1">
      <c r="A10" s="74"/>
      <c r="B10" s="73"/>
      <c r="C10" s="21" t="s">
        <v>162</v>
      </c>
      <c r="D10" s="72"/>
      <c r="E10" s="21" t="s">
        <v>163</v>
      </c>
      <c r="F10" s="72"/>
      <c r="G10" s="21" t="s">
        <v>164</v>
      </c>
      <c r="H10" s="72"/>
      <c r="I10" s="21" t="s">
        <v>165</v>
      </c>
      <c r="J10" s="72"/>
      <c r="K10" s="21" t="s">
        <v>84</v>
      </c>
      <c r="L10" s="72"/>
      <c r="M10" s="21" t="s">
        <v>85</v>
      </c>
    </row>
    <row r="11" spans="1:13" ht="18">
      <c r="A11" s="133"/>
      <c r="B11" s="134"/>
      <c r="C11" s="134"/>
      <c r="D11" s="134"/>
    </row>
    <row r="12" spans="1:13" ht="19.5">
      <c r="A12" s="133" t="s">
        <v>169</v>
      </c>
      <c r="B12" s="134"/>
      <c r="C12" s="134"/>
      <c r="D12" s="134"/>
      <c r="E12" s="135" t="s">
        <v>118</v>
      </c>
      <c r="F12" s="133"/>
      <c r="G12" s="133"/>
      <c r="H12" s="133"/>
      <c r="I12" s="133"/>
      <c r="J12" s="133"/>
      <c r="K12" s="78"/>
      <c r="L12" s="78"/>
      <c r="M12" s="136"/>
    </row>
    <row r="13" spans="1:13" ht="19.5">
      <c r="A13" s="137" t="s">
        <v>117</v>
      </c>
      <c r="B13" s="134"/>
      <c r="C13" s="137" t="s">
        <v>306</v>
      </c>
      <c r="D13" s="134"/>
      <c r="E13" s="138" t="s">
        <v>183</v>
      </c>
      <c r="F13" s="133"/>
      <c r="G13" s="137" t="s">
        <v>309</v>
      </c>
      <c r="H13" s="133"/>
      <c r="I13" s="137" t="s">
        <v>161</v>
      </c>
      <c r="J13" s="133"/>
      <c r="K13" s="139" t="s">
        <v>181</v>
      </c>
      <c r="L13" s="140"/>
      <c r="M13" s="139" t="s">
        <v>310</v>
      </c>
    </row>
    <row r="14" spans="1:13" ht="19.5">
      <c r="A14" s="74"/>
      <c r="B14" s="73"/>
      <c r="C14" s="71"/>
      <c r="D14" s="71"/>
      <c r="E14" s="71" t="s">
        <v>68</v>
      </c>
      <c r="F14" s="71"/>
      <c r="G14" s="71"/>
      <c r="H14" s="71"/>
      <c r="I14" s="71"/>
      <c r="J14" s="71"/>
      <c r="K14" s="70"/>
      <c r="L14" s="70"/>
      <c r="M14" s="72"/>
    </row>
    <row r="15" spans="1:13" ht="19.5">
      <c r="A15" s="74"/>
      <c r="B15" s="73"/>
      <c r="C15" s="73"/>
      <c r="D15" s="73"/>
      <c r="E15" s="75"/>
      <c r="F15" s="73"/>
      <c r="G15" s="73"/>
      <c r="H15" s="73"/>
      <c r="I15" s="69"/>
      <c r="J15" s="73"/>
      <c r="K15" s="70"/>
      <c r="L15" s="70"/>
      <c r="M15" s="72"/>
    </row>
    <row r="16" spans="1:13" ht="19.5">
      <c r="A16" s="74">
        <v>1</v>
      </c>
      <c r="B16" s="73"/>
      <c r="C16" s="76" t="s">
        <v>323</v>
      </c>
      <c r="D16" s="73"/>
      <c r="E16" s="70"/>
      <c r="F16" s="70"/>
      <c r="G16" s="77"/>
      <c r="H16" s="77"/>
      <c r="I16" s="77"/>
      <c r="J16" s="77"/>
      <c r="K16" s="77"/>
      <c r="L16" s="77"/>
      <c r="M16" s="77"/>
    </row>
    <row r="17" spans="1:13" ht="19.5">
      <c r="A17" s="74">
        <f>+A16+1</f>
        <v>2</v>
      </c>
      <c r="B17" s="73"/>
      <c r="C17" s="70" t="s">
        <v>307</v>
      </c>
      <c r="D17" s="73"/>
      <c r="E17" s="77">
        <f>'WS H-1-Detail of Tax Amts'!E15</f>
        <v>15000</v>
      </c>
      <c r="F17" s="70"/>
      <c r="G17" s="77"/>
      <c r="H17" s="77"/>
      <c r="I17" s="77"/>
      <c r="J17" s="77"/>
      <c r="K17" s="77"/>
      <c r="L17" s="77"/>
      <c r="M17" s="77">
        <f>+E17</f>
        <v>15000</v>
      </c>
    </row>
    <row r="18" spans="1:13" ht="19.5">
      <c r="A18" s="74"/>
      <c r="B18" s="73"/>
      <c r="C18" s="78"/>
      <c r="D18" s="73"/>
      <c r="E18" s="70"/>
      <c r="F18" s="70"/>
      <c r="G18" s="77"/>
      <c r="H18" s="77"/>
      <c r="I18" s="77"/>
      <c r="J18" s="77"/>
      <c r="K18" s="77"/>
      <c r="L18" s="77"/>
      <c r="M18" s="77"/>
    </row>
    <row r="19" spans="1:13" ht="18">
      <c r="A19" s="715">
        <f>+A17+1</f>
        <v>3</v>
      </c>
      <c r="B19" s="716"/>
      <c r="C19" s="717" t="s">
        <v>324</v>
      </c>
      <c r="D19" s="716"/>
      <c r="E19" s="716"/>
      <c r="F19" s="716"/>
      <c r="G19" s="718"/>
      <c r="H19" s="714"/>
      <c r="I19" s="714"/>
      <c r="J19" s="714"/>
      <c r="K19" s="714"/>
      <c r="L19" s="714"/>
      <c r="M19" s="714"/>
    </row>
    <row r="20" spans="1:13" ht="18">
      <c r="A20" s="715">
        <f>+A19+1</f>
        <v>4</v>
      </c>
      <c r="B20" s="716"/>
      <c r="C20" s="716" t="s">
        <v>599</v>
      </c>
      <c r="D20" s="716"/>
      <c r="E20" s="718">
        <f>'WS H-1-Detail of Tax Amts'!E27</f>
        <v>64020637.595414303</v>
      </c>
      <c r="F20" s="716"/>
      <c r="G20" s="718">
        <f>+E20</f>
        <v>64020637.595414303</v>
      </c>
      <c r="H20" s="714"/>
      <c r="I20" s="714"/>
      <c r="J20" s="714"/>
      <c r="K20" s="714"/>
      <c r="L20" s="714"/>
      <c r="M20" s="714"/>
    </row>
    <row r="21" spans="1:13" ht="18">
      <c r="A21" s="715">
        <f>+A20+1</f>
        <v>5</v>
      </c>
      <c r="B21" s="716"/>
      <c r="C21" s="716" t="s">
        <v>600</v>
      </c>
      <c r="D21" s="716"/>
      <c r="E21" s="718">
        <f>'WS H-1-Detail of Tax Amts'!E33</f>
        <v>35427336.451822571</v>
      </c>
      <c r="F21" s="716"/>
      <c r="G21" s="718">
        <f>+E21</f>
        <v>35427336.451822571</v>
      </c>
      <c r="H21" s="714"/>
      <c r="I21" s="714"/>
      <c r="J21" s="714"/>
      <c r="K21" s="714"/>
      <c r="L21" s="714"/>
      <c r="M21" s="714"/>
    </row>
    <row r="22" spans="1:13" ht="18">
      <c r="A22" s="715">
        <f>+A21+1</f>
        <v>6</v>
      </c>
      <c r="B22" s="716"/>
      <c r="C22" s="716" t="s">
        <v>596</v>
      </c>
      <c r="D22" s="718"/>
      <c r="E22" s="718">
        <f>'WS H-1-Detail of Tax Amts'!E44</f>
        <v>1017696.2109511422</v>
      </c>
      <c r="F22" s="716"/>
      <c r="G22" s="718">
        <f>+E22</f>
        <v>1017696.2109511422</v>
      </c>
      <c r="H22" s="714"/>
      <c r="I22" s="714"/>
      <c r="J22" s="714"/>
      <c r="K22" s="714"/>
      <c r="L22" s="714"/>
      <c r="M22" s="714"/>
    </row>
    <row r="23" spans="1:13" ht="18">
      <c r="A23" s="715">
        <f>+A22+1</f>
        <v>7</v>
      </c>
      <c r="B23" s="716"/>
      <c r="C23" s="716" t="s">
        <v>463</v>
      </c>
      <c r="D23" s="718"/>
      <c r="E23" s="718">
        <f>'WS H-1-Detail of Tax Amts'!E50</f>
        <v>6769415.7418120103</v>
      </c>
      <c r="F23" s="716"/>
      <c r="G23" s="718">
        <f>E23</f>
        <v>6769415.7418120103</v>
      </c>
      <c r="H23" s="714"/>
      <c r="I23" s="714"/>
      <c r="J23" s="714"/>
      <c r="K23" s="714"/>
      <c r="L23" s="714"/>
      <c r="M23" s="714"/>
    </row>
    <row r="24" spans="1:13" ht="19.5">
      <c r="A24" s="74"/>
      <c r="B24" s="73"/>
      <c r="C24" s="78"/>
      <c r="D24" s="73"/>
      <c r="E24" s="70"/>
      <c r="F24" s="70"/>
      <c r="G24" s="77"/>
      <c r="H24" s="77"/>
      <c r="I24" s="77"/>
      <c r="J24" s="77"/>
      <c r="K24" s="77"/>
      <c r="L24" s="77"/>
      <c r="M24" s="77"/>
    </row>
    <row r="25" spans="1:13" ht="19.5">
      <c r="A25" s="74">
        <f>+A23+1</f>
        <v>8</v>
      </c>
      <c r="B25" s="73"/>
      <c r="C25" s="76" t="s">
        <v>325</v>
      </c>
      <c r="D25" s="73"/>
      <c r="E25" s="70"/>
      <c r="F25" s="70"/>
      <c r="G25" s="77"/>
      <c r="H25" s="77"/>
      <c r="I25" s="77"/>
      <c r="J25" s="77"/>
      <c r="K25" s="77"/>
      <c r="L25" s="77"/>
      <c r="M25" s="77"/>
    </row>
    <row r="26" spans="1:13" ht="19.5">
      <c r="A26" s="74">
        <f>+A25+1</f>
        <v>9</v>
      </c>
      <c r="B26" s="73"/>
      <c r="C26" s="73" t="s">
        <v>321</v>
      </c>
      <c r="D26" s="73"/>
      <c r="E26" s="77">
        <f>'WS H-1-Detail of Tax Amts'!E61</f>
        <v>8418465.2910974771</v>
      </c>
      <c r="F26" s="70"/>
      <c r="G26" s="77"/>
      <c r="H26" s="77"/>
      <c r="I26" s="77">
        <f>+E26</f>
        <v>8418465.2910974771</v>
      </c>
      <c r="J26" s="77"/>
      <c r="K26" s="77"/>
      <c r="L26" s="77"/>
      <c r="M26" s="77"/>
    </row>
    <row r="27" spans="1:13" ht="19.5">
      <c r="A27" s="74">
        <f>+A26+1</f>
        <v>10</v>
      </c>
      <c r="B27" s="73"/>
      <c r="C27" s="73" t="s">
        <v>314</v>
      </c>
      <c r="D27" s="73"/>
      <c r="E27" s="77">
        <f>'WS H-1-Detail of Tax Amts'!E63</f>
        <v>64218</v>
      </c>
      <c r="F27" s="70"/>
      <c r="G27" s="70"/>
      <c r="H27" s="70"/>
      <c r="I27" s="77">
        <f>+E27</f>
        <v>64218</v>
      </c>
      <c r="J27" s="73"/>
      <c r="K27" s="70"/>
      <c r="L27" s="70"/>
      <c r="M27" s="77"/>
    </row>
    <row r="28" spans="1:13" ht="19.5">
      <c r="A28" s="74">
        <f>+A27+1</f>
        <v>11</v>
      </c>
      <c r="B28" s="73"/>
      <c r="C28" s="73" t="s">
        <v>315</v>
      </c>
      <c r="D28" s="73"/>
      <c r="E28" s="77">
        <f>'WS H-1-Detail of Tax Amts'!E65</f>
        <v>80672.723522260014</v>
      </c>
      <c r="F28" s="70"/>
      <c r="G28" s="70"/>
      <c r="H28" s="70"/>
      <c r="I28" s="77">
        <f>+E28</f>
        <v>80672.723522260014</v>
      </c>
      <c r="J28" s="75"/>
      <c r="K28" s="70"/>
      <c r="L28" s="70"/>
      <c r="M28" s="77"/>
    </row>
    <row r="29" spans="1:13" ht="19.5">
      <c r="A29" s="74" t="s">
        <v>114</v>
      </c>
      <c r="B29" s="73"/>
      <c r="C29" s="70"/>
      <c r="D29" s="73"/>
      <c r="E29" s="70"/>
      <c r="F29" s="70"/>
      <c r="G29" s="70"/>
      <c r="H29" s="70"/>
      <c r="I29" s="84"/>
      <c r="J29" s="85"/>
      <c r="K29" s="88"/>
      <c r="L29" s="88"/>
      <c r="M29" s="77"/>
    </row>
    <row r="30" spans="1:13" ht="19.5">
      <c r="A30" s="74">
        <f>A28+1</f>
        <v>12</v>
      </c>
      <c r="B30" s="73"/>
      <c r="C30" s="76" t="s">
        <v>440</v>
      </c>
      <c r="D30" s="73"/>
      <c r="E30" s="70"/>
      <c r="F30" s="70"/>
      <c r="G30" s="70"/>
      <c r="H30" s="70"/>
      <c r="I30" s="84"/>
      <c r="J30" s="85"/>
      <c r="K30" s="88"/>
      <c r="L30" s="88"/>
      <c r="M30" s="77"/>
    </row>
    <row r="31" spans="1:13" ht="19.5">
      <c r="A31" s="74">
        <f>A30+1</f>
        <v>13</v>
      </c>
      <c r="B31" s="73"/>
      <c r="C31" s="70" t="s">
        <v>441</v>
      </c>
      <c r="D31" s="148"/>
      <c r="E31" s="77">
        <f>'WS H-1-Detail of Tax Amts'!E71</f>
        <v>0</v>
      </c>
      <c r="F31" s="70"/>
      <c r="G31" s="70"/>
      <c r="H31" s="70"/>
      <c r="I31" s="84"/>
      <c r="J31" s="85"/>
      <c r="K31" s="88"/>
      <c r="L31" s="88"/>
      <c r="M31" s="77">
        <f>E31</f>
        <v>0</v>
      </c>
    </row>
    <row r="32" spans="1:13" ht="19.5">
      <c r="A32" s="74"/>
      <c r="B32" s="73"/>
      <c r="C32" s="70"/>
      <c r="D32" s="73"/>
      <c r="E32" s="70"/>
      <c r="F32" s="70"/>
      <c r="G32" s="70"/>
      <c r="H32" s="70"/>
      <c r="I32" s="84"/>
      <c r="J32" s="85"/>
      <c r="K32" s="88"/>
      <c r="L32" s="88"/>
      <c r="M32" s="77"/>
    </row>
    <row r="33" spans="1:13" ht="19.5">
      <c r="A33" s="80">
        <f>+A31+1</f>
        <v>14</v>
      </c>
      <c r="B33" s="81"/>
      <c r="C33" s="76" t="s">
        <v>322</v>
      </c>
      <c r="D33" s="82"/>
      <c r="E33" s="70"/>
      <c r="F33" s="70"/>
      <c r="G33" s="77"/>
      <c r="H33" s="77"/>
      <c r="I33" s="77"/>
      <c r="J33" s="77"/>
      <c r="K33" s="77"/>
      <c r="L33" s="77"/>
      <c r="M33" s="77"/>
    </row>
    <row r="34" spans="1:13" ht="19.5">
      <c r="A34" s="80">
        <f>A33+1</f>
        <v>15</v>
      </c>
      <c r="B34" s="81"/>
      <c r="C34" s="964" t="s">
        <v>439</v>
      </c>
      <c r="D34" s="82"/>
      <c r="E34" s="77">
        <f>'WS H-1-Detail of Tax Amts'!E75</f>
        <v>53830000</v>
      </c>
      <c r="F34" s="70"/>
      <c r="G34" s="77"/>
      <c r="H34" s="77"/>
      <c r="I34" s="77"/>
      <c r="J34" s="77"/>
      <c r="K34" s="77"/>
      <c r="L34" s="77"/>
      <c r="M34" s="77">
        <f>E34</f>
        <v>53830000</v>
      </c>
    </row>
    <row r="35" spans="1:13" ht="19.5">
      <c r="A35" s="74">
        <f>A34+1</f>
        <v>16</v>
      </c>
      <c r="B35" s="73"/>
      <c r="C35" s="964" t="s">
        <v>316</v>
      </c>
      <c r="D35" s="73"/>
      <c r="E35" s="77">
        <f>'WS H-1-Detail of Tax Amts'!E79</f>
        <v>0</v>
      </c>
      <c r="F35" s="70"/>
      <c r="G35" s="77"/>
      <c r="H35" s="77"/>
      <c r="I35" s="77"/>
      <c r="J35" s="77"/>
      <c r="K35" s="77">
        <f>+E35</f>
        <v>0</v>
      </c>
      <c r="L35" s="77"/>
      <c r="M35" s="77"/>
    </row>
    <row r="36" spans="1:13" ht="19.5">
      <c r="A36" s="74">
        <f t="shared" ref="A36:A42" si="0">+A35+1</f>
        <v>17</v>
      </c>
      <c r="B36" s="73"/>
      <c r="C36" s="964" t="s">
        <v>317</v>
      </c>
      <c r="E36" s="77">
        <f>'WS H-1-Detail of Tax Amts'!E83</f>
        <v>51910.01750000006</v>
      </c>
      <c r="F36" s="70"/>
      <c r="G36" s="77"/>
      <c r="H36" s="77"/>
      <c r="I36" s="77"/>
      <c r="J36" s="77"/>
      <c r="K36" s="77">
        <f>+E36</f>
        <v>51910.01750000006</v>
      </c>
      <c r="L36" s="77"/>
      <c r="M36" s="77"/>
    </row>
    <row r="37" spans="1:13" ht="19.5">
      <c r="A37" s="74">
        <f>+A36+1</f>
        <v>18</v>
      </c>
      <c r="B37" s="73"/>
      <c r="C37" s="964" t="s">
        <v>318</v>
      </c>
      <c r="E37" s="77">
        <f>'WS H-1-Detail of Tax Amts'!E93</f>
        <v>0</v>
      </c>
      <c r="F37" s="70"/>
      <c r="G37" s="77"/>
      <c r="H37" s="77"/>
      <c r="I37" s="77"/>
      <c r="J37" s="77"/>
      <c r="K37" s="77">
        <f>+E37</f>
        <v>0</v>
      </c>
      <c r="L37" s="77"/>
      <c r="M37" s="77"/>
    </row>
    <row r="38" spans="1:13" ht="19.5">
      <c r="A38" s="74">
        <f t="shared" si="0"/>
        <v>19</v>
      </c>
      <c r="B38" s="73"/>
      <c r="C38" s="964" t="s">
        <v>319</v>
      </c>
      <c r="D38" s="73"/>
      <c r="E38" s="77">
        <f>'WS H-1-Detail of Tax Amts'!E100</f>
        <v>20754783.489999957</v>
      </c>
      <c r="F38" s="70"/>
      <c r="G38" s="77"/>
      <c r="H38" s="77"/>
      <c r="I38" s="77"/>
      <c r="J38" s="77"/>
      <c r="K38" s="77">
        <f>+E38</f>
        <v>20754783.489999957</v>
      </c>
      <c r="L38" s="77"/>
      <c r="M38" s="77"/>
    </row>
    <row r="39" spans="1:13" ht="19.5">
      <c r="A39" s="74">
        <f t="shared" si="0"/>
        <v>20</v>
      </c>
      <c r="B39" s="73"/>
      <c r="C39" s="964" t="s">
        <v>320</v>
      </c>
      <c r="D39" s="73"/>
      <c r="E39" s="77">
        <f>'WS H-1-Detail of Tax Amts'!E103</f>
        <v>1200</v>
      </c>
      <c r="F39" s="70"/>
      <c r="G39" s="77"/>
      <c r="H39" s="77"/>
      <c r="I39" s="77"/>
      <c r="J39" s="77"/>
      <c r="K39" s="77"/>
      <c r="L39" s="77"/>
      <c r="M39" s="77">
        <f>+E39</f>
        <v>1200</v>
      </c>
    </row>
    <row r="40" spans="1:13" ht="19.5">
      <c r="A40" s="74">
        <f t="shared" si="0"/>
        <v>21</v>
      </c>
      <c r="B40" s="70"/>
      <c r="C40" s="964" t="s">
        <v>308</v>
      </c>
      <c r="D40" s="70"/>
      <c r="E40" s="77">
        <f>'WS H-1-Detail of Tax Amts'!E107</f>
        <v>0</v>
      </c>
      <c r="F40" s="70"/>
      <c r="G40" s="77"/>
      <c r="H40" s="77"/>
      <c r="I40" s="77"/>
      <c r="J40" s="77"/>
      <c r="K40" s="77"/>
      <c r="L40" s="77"/>
      <c r="M40" s="77">
        <f>+E40</f>
        <v>0</v>
      </c>
    </row>
    <row r="41" spans="1:13" ht="19.5">
      <c r="A41" s="74">
        <f t="shared" si="0"/>
        <v>22</v>
      </c>
      <c r="B41" s="70"/>
      <c r="C41" s="2" t="s">
        <v>1053</v>
      </c>
      <c r="D41" s="70"/>
      <c r="E41" s="77">
        <f>'WS H-1-Detail of Tax Amts'!E110</f>
        <v>0</v>
      </c>
      <c r="F41" s="70"/>
      <c r="G41" s="77"/>
      <c r="H41" s="77"/>
      <c r="I41" s="77"/>
      <c r="J41" s="77"/>
      <c r="K41" s="77"/>
      <c r="L41" s="77"/>
      <c r="M41" s="77">
        <f>+E41</f>
        <v>0</v>
      </c>
    </row>
    <row r="42" spans="1:13" ht="19.5">
      <c r="A42" s="74">
        <f t="shared" si="0"/>
        <v>23</v>
      </c>
      <c r="B42" s="70"/>
      <c r="C42" s="91"/>
      <c r="D42" s="70"/>
      <c r="E42" s="77"/>
      <c r="F42" s="70"/>
      <c r="G42" s="77"/>
      <c r="H42" s="77"/>
      <c r="I42" s="77"/>
      <c r="J42" s="77"/>
      <c r="K42" s="77"/>
      <c r="L42" s="77"/>
      <c r="M42" s="77"/>
    </row>
    <row r="43" spans="1:13" ht="20.25" thickBot="1">
      <c r="A43" s="74">
        <f>A42+1</f>
        <v>24</v>
      </c>
      <c r="B43" s="155"/>
      <c r="C43" s="70" t="s">
        <v>311</v>
      </c>
      <c r="E43" s="90">
        <f>SUM(E17:E41)</f>
        <v>190451335.52211973</v>
      </c>
      <c r="F43" s="70"/>
      <c r="G43" s="90">
        <f>SUM(G17:G41)</f>
        <v>107235086.00000003</v>
      </c>
      <c r="H43" s="83"/>
      <c r="I43" s="90">
        <f>SUM(I17:I41)</f>
        <v>8563356.0146197379</v>
      </c>
      <c r="J43" s="86"/>
      <c r="K43" s="90">
        <f>SUM(K17:K41)</f>
        <v>20806693.507499956</v>
      </c>
      <c r="L43" s="89"/>
      <c r="M43" s="90">
        <f>SUM(M17:M41)</f>
        <v>53846200</v>
      </c>
    </row>
    <row r="44" spans="1:13" ht="20.25" thickTop="1">
      <c r="A44" s="4"/>
      <c r="B44" s="155"/>
      <c r="C44" s="70" t="s">
        <v>381</v>
      </c>
      <c r="F44" s="70"/>
      <c r="G44" s="83"/>
      <c r="H44" s="83"/>
      <c r="I44" s="86"/>
      <c r="J44" s="87"/>
      <c r="K44" s="89"/>
      <c r="L44" s="89"/>
      <c r="M44" s="89"/>
    </row>
    <row r="45" spans="1:13" ht="19.5">
      <c r="A45" s="4"/>
      <c r="B45" s="155"/>
      <c r="C45" s="70" t="s">
        <v>79</v>
      </c>
      <c r="F45" s="70"/>
      <c r="G45" s="83"/>
      <c r="H45" s="83"/>
      <c r="I45" s="86"/>
      <c r="J45" s="87"/>
      <c r="K45" s="89"/>
      <c r="L45" s="89"/>
      <c r="M45" s="89"/>
    </row>
    <row r="46" spans="1:13" ht="19.5">
      <c r="A46" s="4"/>
      <c r="B46" s="155"/>
      <c r="C46" s="1272" t="s">
        <v>462</v>
      </c>
      <c r="D46" s="1272"/>
      <c r="E46" s="1272"/>
      <c r="F46" s="1272"/>
      <c r="G46" s="1272"/>
      <c r="H46" s="1272"/>
      <c r="I46" s="1272"/>
      <c r="J46" s="1272"/>
      <c r="K46" s="1272"/>
      <c r="L46" s="1272"/>
      <c r="M46" s="1272"/>
    </row>
    <row r="47" spans="1:13" ht="19.5">
      <c r="A47" s="74"/>
      <c r="B47" s="72"/>
      <c r="C47" s="70"/>
      <c r="D47" s="70"/>
      <c r="E47" s="93" t="s">
        <v>229</v>
      </c>
      <c r="F47" s="72"/>
      <c r="G47" s="93" t="s">
        <v>333</v>
      </c>
      <c r="H47" s="93"/>
      <c r="I47" s="93" t="s">
        <v>438</v>
      </c>
      <c r="J47" s="93"/>
      <c r="K47" s="93" t="s">
        <v>334</v>
      </c>
      <c r="L47" s="93"/>
      <c r="M47" s="93" t="s">
        <v>118</v>
      </c>
    </row>
    <row r="48" spans="1:13" ht="19.5">
      <c r="A48" s="74">
        <f>+A43+1</f>
        <v>25</v>
      </c>
      <c r="B48" s="72"/>
      <c r="C48" s="168" t="str">
        <f>"Functionalized Net Plant (TCOS, Lns "&amp;TCOS!B94&amp;" thru "&amp;TCOS!B100&amp;")"</f>
        <v>Functionalized Net Plant (TCOS, Lns 41 thru 46)</v>
      </c>
      <c r="D48" s="70"/>
      <c r="E48" s="169">
        <f>+TCOS!G94</f>
        <v>2379204502.495132</v>
      </c>
      <c r="F48" s="168"/>
      <c r="G48" s="169">
        <f>+TCOS!G95</f>
        <v>4281811290.7118554</v>
      </c>
      <c r="H48" s="168"/>
      <c r="I48" s="169">
        <f>+TCOS!G96</f>
        <v>4190702203.6453977</v>
      </c>
      <c r="J48" s="168"/>
      <c r="K48" s="169">
        <f>+TCOS!G97</f>
        <v>694608929.13009095</v>
      </c>
      <c r="L48" s="70"/>
      <c r="M48" s="111">
        <f>SUM(E48:K48)</f>
        <v>11546326925.982475</v>
      </c>
    </row>
    <row r="49" spans="1:13" ht="19.5">
      <c r="A49" s="74"/>
      <c r="B49" s="72"/>
      <c r="C49" s="78" t="s">
        <v>926</v>
      </c>
      <c r="D49" s="70"/>
      <c r="E49" s="111"/>
      <c r="F49" s="70"/>
      <c r="G49" s="819"/>
      <c r="H49" s="70"/>
      <c r="I49" s="111"/>
      <c r="J49" s="70"/>
      <c r="K49" s="111"/>
      <c r="L49" s="70"/>
      <c r="M49" s="820"/>
    </row>
    <row r="50" spans="1:13" ht="19.5">
      <c r="A50" s="74">
        <f>+A48+1</f>
        <v>26</v>
      </c>
      <c r="B50" s="72"/>
      <c r="C50" s="70" t="str">
        <f>"Percentage of Plant in "&amp;C49&amp;""</f>
        <v>Percentage of Plant in VIRGINIA JURISDICTION</v>
      </c>
      <c r="D50" s="70"/>
      <c r="E50" s="821">
        <v>0.15407647561222701</v>
      </c>
      <c r="F50" s="822"/>
      <c r="G50" s="821">
        <v>0.60857625633790502</v>
      </c>
      <c r="H50" s="822"/>
      <c r="I50" s="821">
        <v>0.55791533106066704</v>
      </c>
      <c r="J50" s="819"/>
      <c r="K50" s="821">
        <v>0.60567179478299304</v>
      </c>
      <c r="L50" s="70"/>
      <c r="M50" s="820"/>
    </row>
    <row r="51" spans="1:13" ht="19.5">
      <c r="A51" s="74">
        <f t="shared" ref="A51:A57" si="1">+A50+1</f>
        <v>27</v>
      </c>
      <c r="B51" s="72"/>
      <c r="C51" s="168" t="str">
        <f>"Net Plant in "&amp;C49&amp;" (Ln "&amp;A48&amp;" * Ln "&amp;A50&amp;")"</f>
        <v>Net Plant in VIRGINIA JURISDICTION (Ln 25 * Ln 26)</v>
      </c>
      <c r="D51" s="70"/>
      <c r="E51" s="111">
        <f>+E48*E50</f>
        <v>366579444.50519192</v>
      </c>
      <c r="F51" s="70"/>
      <c r="G51" s="111">
        <f>+G48*G50</f>
        <v>2605808685.6467938</v>
      </c>
      <c r="H51" s="70"/>
      <c r="I51" s="111">
        <f>+I48*I50</f>
        <v>2338057007.3234887</v>
      </c>
      <c r="J51" s="70"/>
      <c r="K51" s="111">
        <f>+K48*K50</f>
        <v>420705036.77851498</v>
      </c>
      <c r="L51" s="70"/>
      <c r="M51" s="111">
        <f>SUM(E51:K51)</f>
        <v>5731150174.2539892</v>
      </c>
    </row>
    <row r="52" spans="1:13" ht="19.5">
      <c r="A52" s="74">
        <f t="shared" si="1"/>
        <v>28</v>
      </c>
      <c r="B52" s="72"/>
      <c r="C52" s="168" t="s">
        <v>225</v>
      </c>
      <c r="D52" s="70"/>
      <c r="E52" s="985">
        <v>36057953</v>
      </c>
      <c r="F52" s="70"/>
      <c r="G52" s="144"/>
      <c r="H52" s="70"/>
      <c r="I52" s="144"/>
      <c r="J52" s="70"/>
      <c r="K52" s="144"/>
      <c r="L52" s="70"/>
      <c r="M52" s="111"/>
    </row>
    <row r="53" spans="1:13" ht="19.5">
      <c r="A53" s="74">
        <f t="shared" si="1"/>
        <v>29</v>
      </c>
      <c r="B53" s="72"/>
      <c r="C53" s="70" t="str">
        <f>"Taxable Property Basis (Ln "&amp;A51&amp;" - Ln "&amp;A52&amp;")"</f>
        <v>Taxable Property Basis (Ln 27 - Ln 28)</v>
      </c>
      <c r="D53" s="70"/>
      <c r="E53" s="111">
        <f>+E51-E52</f>
        <v>330521491.50519192</v>
      </c>
      <c r="F53" s="70"/>
      <c r="G53" s="111">
        <f>+G51-G52</f>
        <v>2605808685.6467938</v>
      </c>
      <c r="H53" s="70"/>
      <c r="I53" s="111">
        <f>+I51-I52</f>
        <v>2338057007.3234887</v>
      </c>
      <c r="J53" s="70"/>
      <c r="K53" s="111">
        <f>+K51-K52</f>
        <v>420705036.77851498</v>
      </c>
      <c r="L53" s="70"/>
      <c r="M53" s="111">
        <f>SUM(E53:K53)</f>
        <v>5695092221.2539892</v>
      </c>
    </row>
    <row r="54" spans="1:13" ht="19.5">
      <c r="A54" s="74">
        <f t="shared" si="1"/>
        <v>30</v>
      </c>
      <c r="B54" s="72"/>
      <c r="C54" s="77" t="s">
        <v>461</v>
      </c>
      <c r="D54" s="70"/>
      <c r="E54" s="821">
        <v>1</v>
      </c>
      <c r="F54" s="822"/>
      <c r="G54" s="821">
        <v>1</v>
      </c>
      <c r="H54" s="822"/>
      <c r="I54" s="821">
        <v>1</v>
      </c>
      <c r="J54" s="819"/>
      <c r="K54" s="821">
        <v>1</v>
      </c>
      <c r="L54" s="70"/>
      <c r="M54" s="141">
        <f>SUM(E54:K54)</f>
        <v>4</v>
      </c>
    </row>
    <row r="55" spans="1:13" ht="19.5">
      <c r="A55" s="74">
        <f t="shared" si="1"/>
        <v>31</v>
      </c>
      <c r="B55" s="72"/>
      <c r="C55" s="168" t="str">
        <f>"Weighted Net Plant (Ln "&amp;A53&amp;" * Ln "&amp;A54&amp;")"</f>
        <v>Weighted Net Plant (Ln 29 * Ln 30)</v>
      </c>
      <c r="D55" s="70"/>
      <c r="E55" s="111">
        <f>+E53*E54</f>
        <v>330521491.50519192</v>
      </c>
      <c r="F55" s="70"/>
      <c r="G55" s="111">
        <f>+G53*G54</f>
        <v>2605808685.6467938</v>
      </c>
      <c r="H55" s="70"/>
      <c r="I55" s="111">
        <f>+I53*I54</f>
        <v>2338057007.3234887</v>
      </c>
      <c r="J55" s="70"/>
      <c r="K55" s="111">
        <f>+K53*K54</f>
        <v>420705036.77851498</v>
      </c>
      <c r="L55" s="70"/>
      <c r="M55" s="111"/>
    </row>
    <row r="56" spans="1:13" ht="19.5">
      <c r="A56" s="74">
        <f t="shared" si="1"/>
        <v>32</v>
      </c>
      <c r="B56" s="72"/>
      <c r="C56" s="70" t="str">
        <f>+"General Plant Allocator (Ln "&amp;A55&amp;" / (Total - General Plant))"</f>
        <v>General Plant Allocator (Ln 31 / (Total - General Plant))</v>
      </c>
      <c r="D56" s="70"/>
      <c r="E56" s="823">
        <f>IF(E54=0,0,+E55/($E55+$G55+$I55))</f>
        <v>6.2665382715558368E-2</v>
      </c>
      <c r="F56" s="70"/>
      <c r="G56" s="823">
        <f>IF(G54=0,0,+G55/($E55+$G55+$I55))</f>
        <v>0.49404956339130335</v>
      </c>
      <c r="H56" s="70"/>
      <c r="I56" s="823">
        <f>IF(I54=0,0,+I55/($E55+$G55+$I55))</f>
        <v>0.44328505389313833</v>
      </c>
      <c r="J56" s="70"/>
      <c r="K56" s="823">
        <v>-1</v>
      </c>
      <c r="L56" s="70"/>
      <c r="M56" s="70"/>
    </row>
    <row r="57" spans="1:13" ht="19.5">
      <c r="A57" s="74">
        <f t="shared" si="1"/>
        <v>33</v>
      </c>
      <c r="B57" s="72"/>
      <c r="C57" s="70" t="str">
        <f>"Functionalized General Plant (Ln "&amp;A56&amp;" * General Plant)"</f>
        <v>Functionalized General Plant (Ln 32 * General Plant)</v>
      </c>
      <c r="D57" s="70"/>
      <c r="E57" s="824">
        <f>ROUND($K55*E56,0)</f>
        <v>26363642</v>
      </c>
      <c r="F57" s="70"/>
      <c r="G57" s="824">
        <f>+G56*K55</f>
        <v>207849139.73694754</v>
      </c>
      <c r="H57" s="70"/>
      <c r="I57" s="824">
        <f>ROUND($K55*I56,0)</f>
        <v>186492255</v>
      </c>
      <c r="J57" s="70"/>
      <c r="K57" s="824">
        <f>ROUND($K55*K56,0)</f>
        <v>-420705037</v>
      </c>
      <c r="L57" s="70"/>
      <c r="M57" s="111">
        <f>IF(SUM(E57:K57)&lt;&gt;0,0,0)</f>
        <v>0</v>
      </c>
    </row>
    <row r="58" spans="1:13" ht="19.5">
      <c r="A58" s="74">
        <f>+A57+1</f>
        <v>34</v>
      </c>
      <c r="B58" s="72"/>
      <c r="C58" s="70" t="str">
        <f>"Weighted "&amp;C49&amp;" Plant (Ln "&amp;A55&amp;" + "&amp;A57&amp;")"</f>
        <v>Weighted VIRGINIA JURISDICTION Plant (Ln 31 + 33)</v>
      </c>
      <c r="D58" s="70"/>
      <c r="E58" s="111">
        <f>+E55+E57</f>
        <v>356885133.50519192</v>
      </c>
      <c r="F58" s="70"/>
      <c r="G58" s="111">
        <f>+G55+G57</f>
        <v>2813657825.3837414</v>
      </c>
      <c r="H58" s="70"/>
      <c r="I58" s="111">
        <f>+I55+I57</f>
        <v>2524549262.3234887</v>
      </c>
      <c r="J58" s="70"/>
      <c r="K58" s="111">
        <f>+K55+K57</f>
        <v>-0.22148501873016357</v>
      </c>
      <c r="L58" s="70"/>
      <c r="M58" s="111">
        <f>SUM(E58:K58)-SUM(E57:K57)</f>
        <v>5695092221.2539883</v>
      </c>
    </row>
    <row r="59" spans="1:13" ht="19.5">
      <c r="A59" s="74">
        <f>+A58+1</f>
        <v>35</v>
      </c>
      <c r="B59" s="72"/>
      <c r="C59" s="70" t="str">
        <f>"Functional Percentage (Ln "&amp;A58&amp;"/Total Ln "&amp;A58&amp;")"</f>
        <v>Functional Percentage (Ln 34/Total Ln 34)</v>
      </c>
      <c r="D59" s="70"/>
      <c r="E59" s="819">
        <f>+E58/M58</f>
        <v>6.2665382690960225E-2</v>
      </c>
      <c r="F59" s="70"/>
      <c r="G59" s="825">
        <f>+G58/M58</f>
        <v>0.49404956339130346</v>
      </c>
      <c r="H59" s="70"/>
      <c r="I59" s="819">
        <f>+I58/M58</f>
        <v>0.44328505391043771</v>
      </c>
      <c r="J59" s="70"/>
      <c r="L59" s="70"/>
      <c r="M59" s="111"/>
    </row>
    <row r="60" spans="1:13" ht="19.5">
      <c r="A60" s="74"/>
      <c r="B60" s="72"/>
      <c r="C60" s="78" t="s">
        <v>927</v>
      </c>
      <c r="D60" s="70"/>
      <c r="E60" s="111"/>
      <c r="F60" s="70"/>
      <c r="G60" s="111"/>
      <c r="H60" s="70"/>
      <c r="I60" s="111"/>
      <c r="J60" s="70"/>
      <c r="K60" s="111"/>
      <c r="L60" s="70"/>
      <c r="M60" s="111"/>
    </row>
    <row r="61" spans="1:13" ht="19.5">
      <c r="A61" s="74">
        <f>+A59+1</f>
        <v>36</v>
      </c>
      <c r="B61" s="72"/>
      <c r="C61" s="70" t="str">
        <f>"Percentage of Plant in "&amp;C60&amp;""</f>
        <v>Percentage of Plant in WEST VA JURISDICTION</v>
      </c>
      <c r="D61" s="70"/>
      <c r="E61" s="821">
        <v>0.72327161317519695</v>
      </c>
      <c r="F61" s="822"/>
      <c r="G61" s="821">
        <v>0.36931849768214903</v>
      </c>
      <c r="H61" s="822"/>
      <c r="I61" s="821">
        <v>0.442076349840066</v>
      </c>
      <c r="J61" s="819"/>
      <c r="K61" s="821">
        <v>0.39384956659421499</v>
      </c>
      <c r="L61" s="70"/>
      <c r="M61" s="826"/>
    </row>
    <row r="62" spans="1:13" ht="19.5">
      <c r="A62" s="74">
        <f t="shared" ref="A62:A69" si="2">+A61+1</f>
        <v>37</v>
      </c>
      <c r="B62" s="72"/>
      <c r="C62" s="168" t="str">
        <f>"Net Plant in "&amp;C60&amp;" (Ln "&amp;A48&amp;" * Ln "&amp;A61&amp;")"</f>
        <v>Net Plant in WEST VA JURISDICTION (Ln 25 * Ln 36)</v>
      </c>
      <c r="E62" s="111">
        <f>+E61*E48</f>
        <v>1720811078.5933459</v>
      </c>
      <c r="F62" s="70"/>
      <c r="G62" s="111">
        <f>+G61*G48</f>
        <v>1581352113.2441659</v>
      </c>
      <c r="H62" s="70"/>
      <c r="I62" s="111">
        <f>+I61*I48</f>
        <v>1852610333.4542782</v>
      </c>
      <c r="J62" s="70"/>
      <c r="K62" s="111">
        <f>+K61*K48</f>
        <v>273571425.6903581</v>
      </c>
      <c r="L62" s="70"/>
      <c r="M62" s="111">
        <f>SUM(E62:K62)</f>
        <v>5428344950.9821482</v>
      </c>
    </row>
    <row r="63" spans="1:13" ht="19.5">
      <c r="A63" s="74">
        <f t="shared" si="2"/>
        <v>38</v>
      </c>
      <c r="B63" s="72"/>
      <c r="C63" s="168" t="s">
        <v>225</v>
      </c>
      <c r="E63" s="985">
        <v>1568451616</v>
      </c>
      <c r="F63" s="70"/>
      <c r="G63" s="144"/>
      <c r="H63" s="70"/>
      <c r="I63" s="144"/>
      <c r="J63" s="70"/>
      <c r="K63" s="144"/>
      <c r="L63" s="70"/>
      <c r="M63" s="111"/>
    </row>
    <row r="64" spans="1:13" ht="19.5">
      <c r="A64" s="74">
        <f t="shared" si="2"/>
        <v>39</v>
      </c>
      <c r="B64" s="72"/>
      <c r="C64" s="70" t="str">
        <f>"Taxable Property Basis (Ln "&amp;A62&amp;" - Ln "&amp;A63&amp;")"</f>
        <v>Taxable Property Basis (Ln 37 - Ln 38)</v>
      </c>
      <c r="E64" s="111">
        <f>+E62-E63</f>
        <v>152359462.59334588</v>
      </c>
      <c r="F64" s="70"/>
      <c r="G64" s="111">
        <f>+G62-G63</f>
        <v>1581352113.2441659</v>
      </c>
      <c r="H64" s="70"/>
      <c r="I64" s="111">
        <f>+I62-I63</f>
        <v>1852610333.4542782</v>
      </c>
      <c r="J64" s="70"/>
      <c r="K64" s="111">
        <f>+K62-K63</f>
        <v>273571425.6903581</v>
      </c>
      <c r="L64" s="70"/>
      <c r="M64" s="111">
        <f>SUM(E64:K64)</f>
        <v>3859893334.9821482</v>
      </c>
    </row>
    <row r="65" spans="1:13" ht="19.5">
      <c r="A65" s="74">
        <f t="shared" si="2"/>
        <v>40</v>
      </c>
      <c r="B65" s="72"/>
      <c r="C65" s="77" t="s">
        <v>461</v>
      </c>
      <c r="E65" s="821">
        <v>1</v>
      </c>
      <c r="F65" s="822"/>
      <c r="G65" s="821">
        <v>1</v>
      </c>
      <c r="H65" s="822"/>
      <c r="I65" s="821">
        <v>1</v>
      </c>
      <c r="J65" s="819"/>
      <c r="K65" s="821">
        <v>1</v>
      </c>
      <c r="L65" s="70"/>
      <c r="M65" s="141">
        <f>SUM(E65:K65)</f>
        <v>4</v>
      </c>
    </row>
    <row r="66" spans="1:13" ht="19.5">
      <c r="A66" s="74">
        <f t="shared" si="2"/>
        <v>41</v>
      </c>
      <c r="B66" s="72"/>
      <c r="C66" s="168" t="str">
        <f>"Weighted Net Plant (Ln "&amp;A64&amp;" * Ln "&amp;A65&amp;")"</f>
        <v>Weighted Net Plant (Ln 39 * Ln 40)</v>
      </c>
      <c r="E66" s="111">
        <f>+E64*E65</f>
        <v>152359462.59334588</v>
      </c>
      <c r="F66" s="70"/>
      <c r="G66" s="111">
        <f>+G64*G65</f>
        <v>1581352113.2441659</v>
      </c>
      <c r="H66" s="70"/>
      <c r="I66" s="111">
        <f>+I64*I65</f>
        <v>1852610333.4542782</v>
      </c>
      <c r="J66" s="70"/>
      <c r="K66" s="111">
        <f>+K64*K65</f>
        <v>273571425.6903581</v>
      </c>
      <c r="L66" s="70"/>
      <c r="M66" s="111"/>
    </row>
    <row r="67" spans="1:13" ht="19.5">
      <c r="A67" s="74">
        <f t="shared" si="2"/>
        <v>42</v>
      </c>
      <c r="B67" s="72"/>
      <c r="C67" s="70" t="str">
        <f>+"General Plant Allocator (Ln "&amp;A66&amp;" / (Total - General Plant))"</f>
        <v>General Plant Allocator (Ln 41 / (Total - General Plant))</v>
      </c>
      <c r="D67" s="70"/>
      <c r="E67" s="823">
        <f>IF(E65=0,0,+E66/($E66+$G66+$I66))</f>
        <v>4.2483487664227305E-2</v>
      </c>
      <c r="F67" s="70"/>
      <c r="G67" s="823">
        <f>IF(G65=0,0,+G66/($E66+$G66+$I66))</f>
        <v>0.44093981333550836</v>
      </c>
      <c r="H67" s="70"/>
      <c r="I67" s="823">
        <f>IF(I65=0,0,+I66/($E66+$G66+$I66))</f>
        <v>0.51657669900026426</v>
      </c>
      <c r="J67" s="70"/>
      <c r="K67" s="823">
        <v>-1</v>
      </c>
      <c r="L67" s="70"/>
      <c r="M67" s="70"/>
    </row>
    <row r="68" spans="1:13" ht="19.5">
      <c r="A68" s="74">
        <f t="shared" si="2"/>
        <v>43</v>
      </c>
      <c r="B68" s="72"/>
      <c r="C68" s="70" t="str">
        <f>"Functionalized General Plant (Ln "&amp;A67&amp;" * General Plant)"</f>
        <v>Functionalized General Plant (Ln 42 * General Plant)</v>
      </c>
      <c r="D68" s="70"/>
      <c r="E68" s="824">
        <f>ROUND($K66*E67,0)</f>
        <v>11622268</v>
      </c>
      <c r="F68" s="70"/>
      <c r="G68" s="824">
        <f>+G67*K66</f>
        <v>120628533.37783539</v>
      </c>
      <c r="H68" s="70"/>
      <c r="I68" s="824">
        <f>ROUND($K66*I67,0)</f>
        <v>141320624</v>
      </c>
      <c r="J68" s="70"/>
      <c r="K68" s="824">
        <f>ROUND($K66*K67,0)</f>
        <v>-273571426</v>
      </c>
      <c r="L68" s="70"/>
      <c r="M68" s="111">
        <f>IF(SUM(E68:K68)&lt;&gt;0,0,0)</f>
        <v>0</v>
      </c>
    </row>
    <row r="69" spans="1:13" ht="19.5">
      <c r="A69" s="74">
        <f t="shared" si="2"/>
        <v>44</v>
      </c>
      <c r="B69" s="72"/>
      <c r="C69" s="70" t="str">
        <f>"Weighted "&amp;C60&amp;" Plant (Ln "&amp;A66&amp;" + "&amp;A68&amp;")"</f>
        <v>Weighted WEST VA JURISDICTION Plant (Ln 41 + 43)</v>
      </c>
      <c r="D69" s="70"/>
      <c r="E69" s="111">
        <f>+E66+E68</f>
        <v>163981730.59334588</v>
      </c>
      <c r="F69" s="70"/>
      <c r="G69" s="111">
        <f>+G66+G68</f>
        <v>1701980646.6220012</v>
      </c>
      <c r="H69" s="70"/>
      <c r="I69" s="111">
        <f>+I66+I68</f>
        <v>1993930957.4542782</v>
      </c>
      <c r="J69" s="70"/>
      <c r="K69" s="111">
        <f>+K66+K68</f>
        <v>-0.30964189767837524</v>
      </c>
      <c r="L69" s="70"/>
      <c r="M69" s="111">
        <f>SUM(E69:K69)-SUM(E68:K68)</f>
        <v>3859893334.9821482</v>
      </c>
    </row>
    <row r="70" spans="1:13" ht="19.5">
      <c r="A70" s="74">
        <f>+A69+1</f>
        <v>45</v>
      </c>
      <c r="B70" s="72"/>
      <c r="C70" s="70" t="str">
        <f>"Functional Percentage (Ln "&amp;A69&amp;"/Total Ln "&amp;A69&amp;")"</f>
        <v>Functional Percentage (Ln 44/Total Ln 44)</v>
      </c>
      <c r="D70" s="70"/>
      <c r="E70" s="819">
        <f>+E69/M69</f>
        <v>4.2483487589458038E-2</v>
      </c>
      <c r="F70" s="70"/>
      <c r="G70" s="825">
        <f>+G69/M69</f>
        <v>0.44093981333550836</v>
      </c>
      <c r="H70" s="70"/>
      <c r="I70" s="819">
        <f>+I69/M69</f>
        <v>0.51657669899406689</v>
      </c>
      <c r="J70" s="70"/>
      <c r="L70" s="70"/>
      <c r="M70" s="111"/>
    </row>
    <row r="71" spans="1:13" ht="19.5">
      <c r="A71" s="74"/>
      <c r="B71" s="72"/>
      <c r="C71" s="78" t="s">
        <v>928</v>
      </c>
      <c r="D71" s="70"/>
      <c r="E71" s="195"/>
      <c r="F71" s="196"/>
      <c r="G71" s="827"/>
      <c r="H71" s="196"/>
      <c r="I71" s="195"/>
      <c r="J71" s="196"/>
      <c r="K71" s="828"/>
      <c r="L71" s="70"/>
      <c r="M71" s="111"/>
    </row>
    <row r="72" spans="1:13" ht="19.5">
      <c r="A72" s="74">
        <f>+A70+1</f>
        <v>46</v>
      </c>
      <c r="B72" s="72"/>
      <c r="C72" s="70" t="str">
        <f>"Net Plant in "&amp;C71&amp;" (Ln "&amp;A48&amp;" - Ln "&amp;A51&amp;" - Ln "&amp;A62&amp;")"</f>
        <v>Net Plant in TENNESSEE JURISDICTION (Ln 25 - Ln 27 - Ln 37)</v>
      </c>
      <c r="D72" s="70"/>
      <c r="E72" s="195">
        <f>+E48-E51-E62</f>
        <v>291813979.39659429</v>
      </c>
      <c r="F72" s="196"/>
      <c r="G72" s="195">
        <f>+G48-G51-G62</f>
        <v>94650491.820895672</v>
      </c>
      <c r="H72" s="196"/>
      <c r="I72" s="195">
        <f>+I48-I51-I62</f>
        <v>34862.867630720139</v>
      </c>
      <c r="J72" s="196"/>
      <c r="K72" s="195">
        <f>+K48-K51-K62</f>
        <v>332466.66121786833</v>
      </c>
      <c r="L72" s="70"/>
      <c r="M72" s="111">
        <f>SUM(E72:K72)</f>
        <v>386831800.74633855</v>
      </c>
    </row>
    <row r="73" spans="1:13" ht="19.5">
      <c r="A73" s="74">
        <f t="shared" ref="A73:A79" si="3">+A72+1</f>
        <v>47</v>
      </c>
      <c r="B73" s="72"/>
      <c r="C73" s="70" t="s">
        <v>597</v>
      </c>
      <c r="D73" s="70"/>
      <c r="E73" s="554"/>
      <c r="F73" s="196"/>
      <c r="G73" s="197"/>
      <c r="H73" s="196"/>
      <c r="I73" s="197"/>
      <c r="J73" s="196"/>
      <c r="K73" s="197"/>
      <c r="L73" s="70"/>
      <c r="M73" s="111"/>
    </row>
    <row r="74" spans="1:13" ht="19.5">
      <c r="A74" s="74">
        <f t="shared" si="3"/>
        <v>48</v>
      </c>
      <c r="B74" s="72"/>
      <c r="C74" s="70" t="s">
        <v>598</v>
      </c>
      <c r="D74" s="70"/>
      <c r="E74" s="195">
        <f>+E72-E73</f>
        <v>291813979.39659429</v>
      </c>
      <c r="F74" s="196"/>
      <c r="G74" s="195">
        <f>+G72-G73</f>
        <v>94650491.820895672</v>
      </c>
      <c r="H74" s="196"/>
      <c r="I74" s="195">
        <f>+I72-I73</f>
        <v>34862.867630720139</v>
      </c>
      <c r="J74" s="196"/>
      <c r="K74" s="195">
        <f>+K72-K73</f>
        <v>332466.66121786833</v>
      </c>
      <c r="L74" s="70"/>
      <c r="M74" s="111">
        <f>SUM(E74:K74)</f>
        <v>386831800.74633855</v>
      </c>
    </row>
    <row r="75" spans="1:13" ht="19.5">
      <c r="A75" s="74">
        <f t="shared" si="3"/>
        <v>49</v>
      </c>
      <c r="B75" s="72"/>
      <c r="C75" s="77" t="s">
        <v>461</v>
      </c>
      <c r="D75" s="70"/>
      <c r="E75" s="821">
        <v>1</v>
      </c>
      <c r="F75" s="822"/>
      <c r="G75" s="821">
        <v>1</v>
      </c>
      <c r="H75" s="822"/>
      <c r="I75" s="821">
        <v>1</v>
      </c>
      <c r="J75" s="819"/>
      <c r="K75" s="821">
        <v>1</v>
      </c>
      <c r="L75" s="70"/>
      <c r="M75" s="111"/>
    </row>
    <row r="76" spans="1:13" ht="19.5">
      <c r="A76" s="74">
        <f t="shared" si="3"/>
        <v>50</v>
      </c>
      <c r="B76" s="72"/>
      <c r="C76" s="70" t="str">
        <f>"Weighted Net Plant (Ln "&amp;A74&amp;" * Ln "&amp;A75&amp;")"</f>
        <v>Weighted Net Plant (Ln 48 * Ln 49)</v>
      </c>
      <c r="D76" s="70"/>
      <c r="E76" s="195">
        <f>+E74*E75</f>
        <v>291813979.39659429</v>
      </c>
      <c r="F76" s="196"/>
      <c r="G76" s="195">
        <f>+G74*G75</f>
        <v>94650491.820895672</v>
      </c>
      <c r="H76" s="196"/>
      <c r="I76" s="195">
        <f>+I74*I75</f>
        <v>34862.867630720139</v>
      </c>
      <c r="J76" s="196"/>
      <c r="K76" s="195">
        <f>+K74*K75</f>
        <v>332466.66121786833</v>
      </c>
      <c r="L76" s="70"/>
      <c r="M76" s="111"/>
    </row>
    <row r="77" spans="1:13" ht="19.5">
      <c r="A77" s="74">
        <f t="shared" si="3"/>
        <v>51</v>
      </c>
      <c r="B77" s="72"/>
      <c r="C77" s="70" t="str">
        <f>+"General Plant Allocator (Ln "&amp;A76&amp;" / (Total - General Plant)"</f>
        <v>General Plant Allocator (Ln 50 / (Total - General Plant)</v>
      </c>
      <c r="D77" s="70"/>
      <c r="E77" s="829">
        <f>IF(E75=0,0,+E76/($E76+$G76+$I76))</f>
        <v>0.75501806513417336</v>
      </c>
      <c r="F77" s="196"/>
      <c r="G77" s="829">
        <f>IF(G75=0,0,+G76/($E76+$G76+$I76))</f>
        <v>0.24489173324177144</v>
      </c>
      <c r="H77" s="196"/>
      <c r="I77" s="829">
        <f>IF(I75=0,0,+I76/($E76+$G76+$I76))</f>
        <v>9.0201624055171375E-5</v>
      </c>
      <c r="J77" s="196"/>
      <c r="K77" s="829">
        <v>-1</v>
      </c>
      <c r="L77" s="70"/>
      <c r="M77" s="111"/>
    </row>
    <row r="78" spans="1:13" ht="19.5">
      <c r="A78" s="74">
        <f t="shared" si="3"/>
        <v>52</v>
      </c>
      <c r="B78" s="72"/>
      <c r="C78" s="70" t="str">
        <f>"Functionalized General Plant (Ln "&amp;A78&amp;" * General Plant)"</f>
        <v>Functionalized General Plant (Ln 52 * General Plant)</v>
      </c>
      <c r="D78" s="70"/>
      <c r="E78" s="830">
        <f>ROUND($K76*E77,0)</f>
        <v>251018</v>
      </c>
      <c r="F78" s="196"/>
      <c r="G78" s="830">
        <f>ROUND($K76*G77,0)</f>
        <v>81418</v>
      </c>
      <c r="H78" s="196"/>
      <c r="I78" s="830">
        <f>ROUND($K76*I77,0)</f>
        <v>30</v>
      </c>
      <c r="J78" s="196"/>
      <c r="K78" s="830">
        <f>ROUND($K76*K77,0)</f>
        <v>-332467</v>
      </c>
      <c r="L78" s="70"/>
      <c r="M78" s="111"/>
    </row>
    <row r="79" spans="1:13" ht="19.5">
      <c r="A79" s="74">
        <f t="shared" si="3"/>
        <v>53</v>
      </c>
      <c r="B79" s="72"/>
      <c r="C79" s="70" t="str">
        <f>"Weighted "&amp;C71&amp;" Plant (Ln "&amp;A76&amp;" + "&amp;A78&amp;")"</f>
        <v>Weighted TENNESSEE JURISDICTION Plant (Ln 50 + 52)</v>
      </c>
      <c r="D79" s="70"/>
      <c r="E79" s="195">
        <f>+E76+E78</f>
        <v>292064997.39659429</v>
      </c>
      <c r="F79" s="196"/>
      <c r="G79" s="195">
        <f>+G76+G78</f>
        <v>94731909.820895672</v>
      </c>
      <c r="H79" s="196"/>
      <c r="I79" s="195">
        <f>+I76+I78</f>
        <v>34892.867630720139</v>
      </c>
      <c r="J79" s="196"/>
      <c r="K79" s="195">
        <f>+K76+K78</f>
        <v>-0.33878213167190552</v>
      </c>
      <c r="L79" s="70"/>
      <c r="M79" s="111">
        <f>SUM(E79:K79)-SUM(E78:K78)</f>
        <v>386831800.74633855</v>
      </c>
    </row>
    <row r="80" spans="1:13" ht="19.5">
      <c r="A80" s="74">
        <f>+A79+1</f>
        <v>54</v>
      </c>
      <c r="B80" s="72"/>
      <c r="C80" s="70" t="str">
        <f>"Functional Percentage (Ln "&amp;A79&amp;"/Total Ln "&amp;A79&amp;")"</f>
        <v>Functional Percentage (Ln 53/Total Ln 53)</v>
      </c>
      <c r="D80" s="70"/>
      <c r="E80" s="828">
        <f>+E79/M79</f>
        <v>0.75501806426745477</v>
      </c>
      <c r="F80" s="196"/>
      <c r="G80" s="827">
        <f>+G79/M79</f>
        <v>0.24489173237082248</v>
      </c>
      <c r="H80" s="196"/>
      <c r="I80" s="828">
        <f>+I79/M79</f>
        <v>9.0201652406547676E-5</v>
      </c>
      <c r="J80" s="194"/>
      <c r="K80" s="194"/>
      <c r="L80" s="70"/>
      <c r="M80" s="111"/>
    </row>
  </sheetData>
  <mergeCells count="7">
    <mergeCell ref="A8:M8"/>
    <mergeCell ref="A7:M7"/>
    <mergeCell ref="C46:M46"/>
    <mergeCell ref="A3:M3"/>
    <mergeCell ref="A4:M4"/>
    <mergeCell ref="A5:M5"/>
    <mergeCell ref="A6:M6"/>
  </mergeCells>
  <phoneticPr fontId="70" type="noConversion"/>
  <pageMargins left="0.59" right="0.84" top="1" bottom="1" header="0.75" footer="0.5"/>
  <pageSetup scale="43" orientation="portrait" r:id="rId1"/>
  <headerFooter alignWithMargins="0">
    <oddHeader>&amp;R&amp;"Arial,Bold"Formula Rate 
&amp;A
Page &amp;P of &amp;N</oddHeader>
  </headerFooter>
  <colBreaks count="1" manualBreakCount="1">
    <brk id="13"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I123"/>
  <sheetViews>
    <sheetView view="pageBreakPreview" zoomScale="70" zoomScaleNormal="70" zoomScaleSheetLayoutView="70" workbookViewId="0">
      <selection activeCell="H51" sqref="H51"/>
    </sheetView>
  </sheetViews>
  <sheetFormatPr defaultRowHeight="12.75" customHeight="1"/>
  <cols>
    <col min="1" max="1" width="7.28515625" customWidth="1"/>
    <col min="2" max="2" width="1.7109375" customWidth="1"/>
    <col min="3" max="3" width="68.5703125" customWidth="1"/>
    <col min="4" max="4" width="19.140625" customWidth="1"/>
    <col min="5" max="5" width="20.42578125" customWidth="1"/>
    <col min="6" max="6" width="20.42578125" bestFit="1" customWidth="1"/>
    <col min="7" max="7" width="40.28515625" bestFit="1" customWidth="1"/>
    <col min="8" max="8" width="13" bestFit="1" customWidth="1"/>
    <col min="9" max="9" width="34" customWidth="1"/>
  </cols>
  <sheetData>
    <row r="1" spans="1:9" ht="15.75">
      <c r="A1" s="581"/>
      <c r="B1" s="72"/>
      <c r="C1" s="72"/>
      <c r="D1" s="72"/>
      <c r="E1" s="79"/>
      <c r="F1" s="72"/>
      <c r="G1" s="72"/>
      <c r="H1" s="72"/>
      <c r="I1" s="72"/>
    </row>
    <row r="2" spans="1:9" ht="15.75">
      <c r="A2" s="581"/>
      <c r="B2" s="72"/>
      <c r="C2" s="72"/>
      <c r="D2" s="72"/>
      <c r="E2" s="79"/>
      <c r="F2" s="72"/>
      <c r="G2" s="72"/>
      <c r="H2" s="72"/>
      <c r="I2" s="72"/>
    </row>
    <row r="3" spans="1:9" ht="18.75" customHeight="1">
      <c r="A3" s="1235" t="s">
        <v>387</v>
      </c>
      <c r="B3" s="1235"/>
      <c r="C3" s="1235"/>
      <c r="D3" s="1235"/>
      <c r="E3" s="1235"/>
      <c r="F3" s="1235"/>
      <c r="G3" s="72"/>
      <c r="H3" s="72"/>
      <c r="I3" s="72"/>
    </row>
    <row r="4" spans="1:9" ht="18.75" customHeight="1">
      <c r="A4" s="1236" t="str">
        <f>"Cost of Service Formula Rate Using Actual/Projected FF1 Balances"</f>
        <v>Cost of Service Formula Rate Using Actual/Projected FF1 Balances</v>
      </c>
      <c r="B4" s="1236"/>
      <c r="C4" s="1236"/>
      <c r="D4" s="1236"/>
      <c r="E4" s="1236"/>
      <c r="F4" s="1236"/>
      <c r="G4" s="72"/>
      <c r="H4" s="72"/>
      <c r="I4" s="72"/>
    </row>
    <row r="5" spans="1:9" ht="18.75" customHeight="1">
      <c r="A5" s="1236" t="s">
        <v>217</v>
      </c>
      <c r="B5" s="1236"/>
      <c r="C5" s="1236"/>
      <c r="D5" s="1236"/>
      <c r="E5" s="1236"/>
      <c r="F5" s="1236"/>
      <c r="G5" s="72"/>
      <c r="H5" s="72"/>
      <c r="I5" s="72"/>
    </row>
    <row r="6" spans="1:9" ht="18" customHeight="1">
      <c r="A6" s="1237" t="str">
        <f>TCOS!F9</f>
        <v>Appalachian Power Company</v>
      </c>
      <c r="B6" s="1236"/>
      <c r="C6" s="1236"/>
      <c r="D6" s="1236"/>
      <c r="E6" s="1236"/>
      <c r="F6" s="1236"/>
      <c r="G6" s="72"/>
      <c r="H6" s="72"/>
      <c r="I6" s="72"/>
    </row>
    <row r="7" spans="1:9" ht="18" customHeight="1">
      <c r="A7" s="1247"/>
      <c r="B7" s="1247"/>
      <c r="C7" s="1247"/>
      <c r="D7" s="1247"/>
      <c r="E7" s="1247"/>
      <c r="F7" s="1247"/>
      <c r="G7" s="72"/>
      <c r="H7" s="72"/>
      <c r="I7" s="72"/>
    </row>
    <row r="8" spans="1:9" ht="19.5" customHeight="1">
      <c r="A8" s="74"/>
      <c r="B8" s="73"/>
      <c r="C8" s="21" t="s">
        <v>162</v>
      </c>
      <c r="D8" s="72"/>
      <c r="E8" s="21" t="s">
        <v>163</v>
      </c>
      <c r="F8" s="21" t="s">
        <v>164</v>
      </c>
      <c r="G8" s="21" t="s">
        <v>165</v>
      </c>
      <c r="H8" s="72"/>
      <c r="I8" s="72"/>
    </row>
    <row r="9" spans="1:9" ht="18">
      <c r="A9" s="133"/>
      <c r="B9" s="134"/>
      <c r="C9" s="134"/>
      <c r="D9" s="134"/>
      <c r="G9" s="24"/>
      <c r="H9" s="24"/>
      <c r="I9" s="24"/>
    </row>
    <row r="10" spans="1:9" ht="18">
      <c r="A10" s="133" t="s">
        <v>169</v>
      </c>
      <c r="B10" s="134"/>
      <c r="C10" s="134"/>
      <c r="D10" s="134"/>
      <c r="E10" s="135" t="s">
        <v>118</v>
      </c>
      <c r="F10" s="133" t="s">
        <v>76</v>
      </c>
      <c r="G10" s="72"/>
      <c r="H10" s="72"/>
      <c r="I10" s="72"/>
    </row>
    <row r="11" spans="1:9" ht="18">
      <c r="A11" s="137" t="s">
        <v>117</v>
      </c>
      <c r="B11" s="170"/>
      <c r="C11" s="137" t="s">
        <v>30</v>
      </c>
      <c r="D11" s="719"/>
      <c r="E11" s="138" t="s">
        <v>183</v>
      </c>
      <c r="F11" s="137" t="s">
        <v>77</v>
      </c>
      <c r="G11" s="138" t="s">
        <v>78</v>
      </c>
      <c r="H11" s="719"/>
      <c r="I11" s="719"/>
    </row>
    <row r="12" spans="1:9" ht="18">
      <c r="A12" s="74"/>
      <c r="B12" s="73"/>
      <c r="C12" s="71"/>
      <c r="D12" s="71"/>
      <c r="E12" s="71"/>
      <c r="F12" s="133"/>
      <c r="G12" s="135"/>
      <c r="H12" s="72"/>
      <c r="I12" s="720"/>
    </row>
    <row r="13" spans="1:9" ht="18">
      <c r="A13" s="74"/>
      <c r="B13" s="73"/>
      <c r="C13" s="73"/>
      <c r="D13" s="73"/>
      <c r="E13" s="75"/>
      <c r="F13" s="71"/>
      <c r="G13" s="72"/>
      <c r="H13" s="72"/>
      <c r="I13" s="72"/>
    </row>
    <row r="14" spans="1:9" ht="19.5">
      <c r="A14" s="74">
        <v>1</v>
      </c>
      <c r="B14" s="73"/>
      <c r="C14" s="76" t="s">
        <v>323</v>
      </c>
      <c r="D14" s="73"/>
      <c r="E14" s="70"/>
      <c r="F14" s="73"/>
      <c r="G14" s="72"/>
      <c r="H14" s="72"/>
      <c r="I14" s="72"/>
    </row>
    <row r="15" spans="1:9" ht="19.5">
      <c r="A15" s="74">
        <f>+A14+1</f>
        <v>2</v>
      </c>
      <c r="B15" s="73"/>
      <c r="C15" s="70" t="s">
        <v>307</v>
      </c>
      <c r="E15" s="77">
        <f>SUM(F16:F19)</f>
        <v>15000</v>
      </c>
      <c r="F15" s="70"/>
      <c r="G15" s="72"/>
      <c r="H15" s="72"/>
      <c r="I15" s="72"/>
    </row>
    <row r="16" spans="1:9" ht="19.5">
      <c r="A16" s="74"/>
      <c r="B16" s="73"/>
      <c r="C16" s="78"/>
      <c r="E16" s="70"/>
      <c r="F16" s="555">
        <v>15000</v>
      </c>
      <c r="G16" s="556"/>
      <c r="H16" s="72"/>
      <c r="I16" s="72"/>
    </row>
    <row r="17" spans="1:9" ht="19.5">
      <c r="A17" s="74"/>
      <c r="B17" s="73"/>
      <c r="C17" s="78"/>
      <c r="E17" s="70"/>
      <c r="F17" s="555"/>
      <c r="G17" s="556"/>
      <c r="H17" s="72"/>
      <c r="I17" s="72"/>
    </row>
    <row r="18" spans="1:9" ht="19.5">
      <c r="A18" s="74"/>
      <c r="B18" s="73"/>
      <c r="C18" s="78"/>
      <c r="E18" s="70"/>
      <c r="F18" s="555"/>
      <c r="G18" s="556"/>
      <c r="H18" s="72"/>
      <c r="I18" s="72"/>
    </row>
    <row r="19" spans="1:9" ht="18" customHeight="1">
      <c r="A19" s="74"/>
      <c r="B19" s="73"/>
      <c r="C19" s="78"/>
      <c r="E19" s="70"/>
      <c r="F19" s="555"/>
      <c r="G19" s="556"/>
      <c r="H19" s="72"/>
      <c r="I19" s="72"/>
    </row>
    <row r="20" spans="1:9" ht="18" customHeight="1">
      <c r="A20" s="74"/>
      <c r="B20" s="73"/>
      <c r="C20" s="78"/>
      <c r="E20" s="70"/>
      <c r="F20" s="555"/>
      <c r="G20" s="556"/>
      <c r="H20" s="72"/>
      <c r="I20" s="72"/>
    </row>
    <row r="21" spans="1:9" ht="18" customHeight="1">
      <c r="A21" s="74"/>
      <c r="B21" s="73"/>
      <c r="C21" s="78"/>
      <c r="E21" s="70"/>
      <c r="F21" s="583"/>
      <c r="G21" s="584"/>
      <c r="H21" s="72"/>
      <c r="I21" s="72"/>
    </row>
    <row r="22" spans="1:9" ht="18" customHeight="1">
      <c r="A22" s="74"/>
      <c r="B22" s="73"/>
      <c r="C22" s="21" t="s">
        <v>162</v>
      </c>
      <c r="D22" s="21" t="s">
        <v>163</v>
      </c>
      <c r="E22" s="21" t="s">
        <v>164</v>
      </c>
      <c r="F22" s="21" t="s">
        <v>165</v>
      </c>
      <c r="G22" s="21" t="s">
        <v>84</v>
      </c>
      <c r="H22" s="744" t="s">
        <v>85</v>
      </c>
      <c r="I22" s="21" t="s">
        <v>86</v>
      </c>
    </row>
    <row r="23" spans="1:9" ht="58.5" customHeight="1">
      <c r="A23" s="137"/>
      <c r="B23" s="170"/>
      <c r="C23" s="745" t="s">
        <v>751</v>
      </c>
      <c r="D23" s="746" t="s">
        <v>669</v>
      </c>
      <c r="E23" s="747" t="s">
        <v>749</v>
      </c>
      <c r="F23" s="748" t="s">
        <v>750</v>
      </c>
      <c r="G23" s="749" t="s">
        <v>78</v>
      </c>
      <c r="H23" s="747" t="s">
        <v>814</v>
      </c>
      <c r="I23" s="748" t="s">
        <v>748</v>
      </c>
    </row>
    <row r="24" spans="1:9" ht="19.5">
      <c r="A24" s="74"/>
      <c r="B24" s="73"/>
      <c r="C24" s="78"/>
      <c r="D24" s="4"/>
      <c r="E24" s="70"/>
      <c r="F24" s="77"/>
      <c r="G24" s="171"/>
      <c r="H24" s="72"/>
      <c r="I24" s="72"/>
    </row>
    <row r="25" spans="1:9" ht="39">
      <c r="A25" s="709">
        <f>+A15+1</f>
        <v>3</v>
      </c>
      <c r="B25" s="710"/>
      <c r="C25" s="743" t="s">
        <v>747</v>
      </c>
      <c r="D25" s="750"/>
      <c r="E25" s="882">
        <f>E27+E33+E44+E50</f>
        <v>107235086.00000003</v>
      </c>
      <c r="F25" s="751"/>
      <c r="G25" s="721"/>
      <c r="H25" s="752"/>
      <c r="I25" s="882">
        <f>I27+I33+I44+I50</f>
        <v>48078963.757741205</v>
      </c>
    </row>
    <row r="26" spans="1:9" ht="19.5">
      <c r="A26" s="74"/>
      <c r="B26" s="73"/>
      <c r="C26" s="76"/>
      <c r="E26" s="70"/>
      <c r="F26" s="172"/>
      <c r="G26" s="171"/>
      <c r="H26" s="711"/>
      <c r="I26" s="712"/>
    </row>
    <row r="27" spans="1:9" ht="19.5">
      <c r="A27" s="74">
        <f>+A25+1</f>
        <v>4</v>
      </c>
      <c r="B27" s="73"/>
      <c r="C27" s="713" t="s">
        <v>599</v>
      </c>
      <c r="E27" s="77">
        <f>SUM(F28:F32)</f>
        <v>64020637.595414303</v>
      </c>
      <c r="F27" s="172"/>
      <c r="G27" s="171"/>
      <c r="H27" s="73"/>
      <c r="I27" s="708">
        <f>SUM(I28:I32)</f>
        <v>28229247.99094221</v>
      </c>
    </row>
    <row r="28" spans="1:9" ht="19.5">
      <c r="A28" s="74"/>
      <c r="B28" s="73"/>
      <c r="C28" s="713"/>
      <c r="D28" s="907">
        <v>2026</v>
      </c>
      <c r="E28" s="77"/>
      <c r="F28" s="555">
        <v>64020637.595414303</v>
      </c>
      <c r="G28" s="556"/>
      <c r="H28" s="706">
        <f>'WS H Other Taxes'!G70</f>
        <v>0.44093981333550836</v>
      </c>
      <c r="I28" s="756">
        <f>+F28*H28</f>
        <v>28229247.99094221</v>
      </c>
    </row>
    <row r="29" spans="1:9" ht="19.5">
      <c r="A29" s="74"/>
      <c r="B29" s="73"/>
      <c r="C29" s="713"/>
      <c r="D29" s="555"/>
      <c r="E29" s="77"/>
      <c r="F29" s="555"/>
      <c r="G29" s="556"/>
      <c r="H29" s="706"/>
      <c r="I29" s="756">
        <f>+F29*H29</f>
        <v>0</v>
      </c>
    </row>
    <row r="30" spans="1:9" ht="19.5">
      <c r="A30" s="74"/>
      <c r="B30" s="73"/>
      <c r="C30" s="713"/>
      <c r="D30" s="555"/>
      <c r="E30" s="77"/>
      <c r="F30" s="555"/>
      <c r="G30" s="556"/>
      <c r="H30" s="706"/>
      <c r="I30" s="756">
        <f>+F30*H30</f>
        <v>0</v>
      </c>
    </row>
    <row r="31" spans="1:9" ht="19.5">
      <c r="A31" s="74"/>
      <c r="B31" s="73"/>
      <c r="C31" s="713"/>
      <c r="D31" s="555"/>
      <c r="E31" s="77"/>
      <c r="F31" s="555"/>
      <c r="G31" s="556"/>
      <c r="H31" s="706"/>
      <c r="I31" s="756">
        <f t="shared" ref="I31:I42" si="0">F31*H31</f>
        <v>0</v>
      </c>
    </row>
    <row r="32" spans="1:9" ht="19.5">
      <c r="A32" s="74"/>
      <c r="B32" s="73"/>
      <c r="C32" s="713"/>
      <c r="D32" s="555"/>
      <c r="E32" s="77"/>
      <c r="F32" s="555"/>
      <c r="G32" s="556"/>
      <c r="H32" s="706"/>
      <c r="I32" s="756">
        <f t="shared" si="0"/>
        <v>0</v>
      </c>
    </row>
    <row r="33" spans="1:9" ht="19.5">
      <c r="A33" s="74">
        <f>+A27+1</f>
        <v>5</v>
      </c>
      <c r="B33" s="73"/>
      <c r="C33" s="713" t="s">
        <v>600</v>
      </c>
      <c r="E33" s="77">
        <f>SUM(F34:F40)</f>
        <v>35427336.451822571</v>
      </c>
      <c r="F33" s="77"/>
      <c r="G33" s="171"/>
      <c r="H33" s="72"/>
      <c r="I33" s="756">
        <f>SUM(I34:I42)</f>
        <v>17502860.106139753</v>
      </c>
    </row>
    <row r="34" spans="1:9" ht="19.5">
      <c r="A34" s="74"/>
      <c r="B34" s="73"/>
      <c r="C34" s="713"/>
      <c r="D34" s="907">
        <v>2026</v>
      </c>
      <c r="E34" s="77"/>
      <c r="F34" s="555">
        <v>35427336.451822571</v>
      </c>
      <c r="G34" s="556"/>
      <c r="H34" s="707">
        <f>'WS H Other Taxes'!G59</f>
        <v>0.49404956339130346</v>
      </c>
      <c r="I34" s="756">
        <f>F34*H34</f>
        <v>17502860.106139753</v>
      </c>
    </row>
    <row r="35" spans="1:9" ht="19.5">
      <c r="A35" s="74"/>
      <c r="B35" s="73"/>
      <c r="C35" s="713"/>
      <c r="D35" s="555"/>
      <c r="E35" s="77"/>
      <c r="F35" s="555"/>
      <c r="G35" s="556"/>
      <c r="H35" s="556"/>
      <c r="I35" s="756">
        <f t="shared" si="0"/>
        <v>0</v>
      </c>
    </row>
    <row r="36" spans="1:9" ht="19.5">
      <c r="A36" s="74"/>
      <c r="B36" s="73"/>
      <c r="C36" s="713"/>
      <c r="D36" s="555"/>
      <c r="E36" s="77"/>
      <c r="F36" s="555"/>
      <c r="G36" s="556"/>
      <c r="H36" s="556"/>
      <c r="I36" s="756">
        <f t="shared" si="0"/>
        <v>0</v>
      </c>
    </row>
    <row r="37" spans="1:9" ht="19.5">
      <c r="A37" s="74"/>
      <c r="B37" s="73"/>
      <c r="C37" s="713"/>
      <c r="D37" s="555"/>
      <c r="E37" s="77"/>
      <c r="F37" s="555"/>
      <c r="G37" s="556"/>
      <c r="H37" s="556"/>
      <c r="I37" s="756">
        <f t="shared" si="0"/>
        <v>0</v>
      </c>
    </row>
    <row r="38" spans="1:9" ht="19.5">
      <c r="A38" s="74"/>
      <c r="B38" s="73"/>
      <c r="C38" s="713"/>
      <c r="D38" s="555"/>
      <c r="E38" s="77"/>
      <c r="F38" s="555"/>
      <c r="G38" s="556"/>
      <c r="H38" s="556"/>
      <c r="I38" s="756">
        <f t="shared" si="0"/>
        <v>0</v>
      </c>
    </row>
    <row r="39" spans="1:9" ht="19.5">
      <c r="A39" s="74"/>
      <c r="B39" s="73"/>
      <c r="C39" s="713"/>
      <c r="D39" s="555"/>
      <c r="E39" s="77"/>
      <c r="F39" s="555"/>
      <c r="G39" s="556"/>
      <c r="H39" s="556"/>
      <c r="I39" s="756">
        <f t="shared" si="0"/>
        <v>0</v>
      </c>
    </row>
    <row r="40" spans="1:9" ht="19.5">
      <c r="A40" s="74"/>
      <c r="B40" s="73"/>
      <c r="C40" s="713"/>
      <c r="D40" s="555"/>
      <c r="E40" s="77"/>
      <c r="F40" s="555"/>
      <c r="G40" s="556"/>
      <c r="H40" s="556"/>
      <c r="I40" s="756">
        <f t="shared" si="0"/>
        <v>0</v>
      </c>
    </row>
    <row r="41" spans="1:9" ht="19.5">
      <c r="A41" s="74"/>
      <c r="B41" s="73"/>
      <c r="C41" s="713"/>
      <c r="D41" s="555"/>
      <c r="E41" s="77"/>
      <c r="F41" s="555"/>
      <c r="G41" s="556"/>
      <c r="H41" s="556"/>
      <c r="I41" s="756">
        <f t="shared" si="0"/>
        <v>0</v>
      </c>
    </row>
    <row r="42" spans="1:9" ht="19.5">
      <c r="A42" s="74"/>
      <c r="B42" s="73"/>
      <c r="C42" s="713"/>
      <c r="D42" s="555"/>
      <c r="E42" s="77"/>
      <c r="F42" s="555"/>
      <c r="G42" s="556"/>
      <c r="H42" s="556"/>
      <c r="I42" s="756">
        <f t="shared" si="0"/>
        <v>0</v>
      </c>
    </row>
    <row r="43" spans="1:9" ht="19.5">
      <c r="A43" s="74"/>
      <c r="B43" s="73"/>
      <c r="C43" s="713"/>
      <c r="D43" s="73"/>
      <c r="E43" s="77"/>
      <c r="F43" s="4"/>
      <c r="G43" s="192"/>
      <c r="H43" s="72"/>
      <c r="I43" s="72"/>
    </row>
    <row r="44" spans="1:9" ht="19.5">
      <c r="A44" s="74">
        <f>+A33+1</f>
        <v>6</v>
      </c>
      <c r="B44" s="73"/>
      <c r="C44" s="713" t="s">
        <v>596</v>
      </c>
      <c r="D44" s="148"/>
      <c r="E44" s="77">
        <f>SUM(F45:F48)</f>
        <v>1017696.2109511422</v>
      </c>
      <c r="F44" s="70" t="s">
        <v>114</v>
      </c>
      <c r="G44" s="192" t="s">
        <v>114</v>
      </c>
      <c r="H44" s="72"/>
      <c r="I44" s="756">
        <f>SUM(I45:I49)</f>
        <v>249225.38812704722</v>
      </c>
    </row>
    <row r="45" spans="1:9" ht="19.5">
      <c r="A45" s="74"/>
      <c r="B45" s="73"/>
      <c r="C45" s="713"/>
      <c r="D45" s="907">
        <v>2026</v>
      </c>
      <c r="E45" s="77"/>
      <c r="F45" s="555">
        <v>1017696.2109511422</v>
      </c>
      <c r="G45" s="556"/>
      <c r="H45" s="707">
        <f>'WS H Other Taxes'!G80</f>
        <v>0.24489173237082248</v>
      </c>
      <c r="I45" s="756">
        <f>F45*H45</f>
        <v>249225.38812704722</v>
      </c>
    </row>
    <row r="46" spans="1:9" ht="19.5">
      <c r="A46" s="74"/>
      <c r="B46" s="73"/>
      <c r="C46" s="713"/>
      <c r="D46" s="555"/>
      <c r="E46" s="77"/>
      <c r="F46" s="555"/>
      <c r="G46" s="556"/>
      <c r="H46" s="556"/>
      <c r="I46" s="756">
        <f>F46*H46</f>
        <v>0</v>
      </c>
    </row>
    <row r="47" spans="1:9" ht="19.5">
      <c r="A47" s="74"/>
      <c r="B47" s="73"/>
      <c r="C47" s="713"/>
      <c r="D47" s="555"/>
      <c r="E47" s="77"/>
      <c r="F47" s="555"/>
      <c r="G47" s="556"/>
      <c r="H47" s="556"/>
      <c r="I47" s="756">
        <f>F47*H47</f>
        <v>0</v>
      </c>
    </row>
    <row r="48" spans="1:9" ht="19.5">
      <c r="A48" s="74"/>
      <c r="B48" s="73"/>
      <c r="C48" s="713"/>
      <c r="D48" s="555"/>
      <c r="E48" s="77"/>
      <c r="F48" s="555"/>
      <c r="G48" s="556"/>
      <c r="H48" s="556"/>
      <c r="I48" s="756">
        <f>F48*H48</f>
        <v>0</v>
      </c>
    </row>
    <row r="49" spans="1:9" ht="19.5">
      <c r="A49" s="74"/>
      <c r="B49" s="73"/>
      <c r="C49" s="713"/>
      <c r="D49" s="555"/>
      <c r="E49" s="77"/>
      <c r="F49" s="555"/>
      <c r="G49" s="556"/>
      <c r="H49" s="556"/>
      <c r="I49" s="756">
        <f>F49*H49</f>
        <v>0</v>
      </c>
    </row>
    <row r="50" spans="1:9" ht="19.5">
      <c r="A50" s="74"/>
      <c r="B50" s="73"/>
      <c r="C50" s="713"/>
      <c r="D50" s="148"/>
      <c r="E50" s="77">
        <f>SUM(F51:F53)</f>
        <v>6769415.7418120103</v>
      </c>
      <c r="F50" s="191"/>
      <c r="G50" s="192"/>
      <c r="H50" s="72"/>
      <c r="I50" s="756">
        <f>SUM(I51:I53)</f>
        <v>2097630.2725322014</v>
      </c>
    </row>
    <row r="51" spans="1:9" ht="19.5">
      <c r="A51" s="74">
        <f>A44+1</f>
        <v>7</v>
      </c>
      <c r="B51" s="73"/>
      <c r="C51" s="713" t="s">
        <v>463</v>
      </c>
      <c r="D51" s="907">
        <v>2026</v>
      </c>
      <c r="E51" s="77"/>
      <c r="F51" s="555">
        <v>6769415.7418120103</v>
      </c>
      <c r="G51" s="556"/>
      <c r="H51" s="707">
        <f>TCOS!J77</f>
        <v>0.30986873203487364</v>
      </c>
      <c r="I51" s="756">
        <f>F51*H51</f>
        <v>2097630.2725322014</v>
      </c>
    </row>
    <row r="52" spans="1:9" ht="19.5">
      <c r="A52" s="74"/>
      <c r="B52" s="73"/>
      <c r="C52" s="73"/>
      <c r="D52" s="555"/>
      <c r="E52" s="77"/>
      <c r="F52" s="555"/>
      <c r="G52" s="556"/>
      <c r="H52" s="556"/>
      <c r="I52" s="756">
        <f>F52*H52</f>
        <v>0</v>
      </c>
    </row>
    <row r="53" spans="1:9" ht="19.5">
      <c r="A53" s="74"/>
      <c r="B53" s="73"/>
      <c r="C53" s="73"/>
      <c r="D53" s="555"/>
      <c r="E53" s="77"/>
      <c r="F53" s="555"/>
      <c r="G53" s="556"/>
      <c r="H53" s="556"/>
      <c r="I53" s="756">
        <f>F53*H53</f>
        <v>0</v>
      </c>
    </row>
    <row r="54" spans="1:9" ht="19.5">
      <c r="A54" s="722"/>
      <c r="B54" s="723"/>
      <c r="C54" s="723"/>
      <c r="D54" s="724"/>
      <c r="E54" s="725"/>
      <c r="F54" s="724"/>
      <c r="G54" s="726"/>
      <c r="H54" s="726"/>
      <c r="I54" s="727"/>
    </row>
    <row r="55" spans="1:9" ht="19.5">
      <c r="A55" s="74"/>
      <c r="B55" s="73"/>
      <c r="C55" s="73"/>
      <c r="D55" s="148"/>
      <c r="E55" s="77"/>
      <c r="F55" s="191"/>
      <c r="G55" s="192"/>
      <c r="H55" s="72"/>
      <c r="I55" s="72"/>
    </row>
    <row r="56" spans="1:9" ht="18">
      <c r="A56" s="74"/>
      <c r="B56" s="73"/>
      <c r="C56" s="21" t="s">
        <v>162</v>
      </c>
      <c r="D56" s="72"/>
      <c r="E56" s="21" t="s">
        <v>163</v>
      </c>
      <c r="F56" s="21" t="s">
        <v>164</v>
      </c>
      <c r="G56" s="21" t="s">
        <v>165</v>
      </c>
      <c r="H56" s="72"/>
      <c r="I56" s="72"/>
    </row>
    <row r="57" spans="1:9" ht="18">
      <c r="A57" s="133"/>
      <c r="B57" s="134"/>
      <c r="C57" s="134"/>
      <c r="D57" s="134"/>
      <c r="G57" s="24"/>
      <c r="H57" s="72"/>
      <c r="I57" s="72"/>
    </row>
    <row r="58" spans="1:9" ht="18">
      <c r="A58" s="133" t="s">
        <v>169</v>
      </c>
      <c r="B58" s="134"/>
      <c r="C58" s="134"/>
      <c r="D58" s="134"/>
      <c r="E58" s="135" t="s">
        <v>118</v>
      </c>
      <c r="F58" s="133" t="s">
        <v>76</v>
      </c>
      <c r="G58" s="72"/>
      <c r="H58" s="72"/>
      <c r="I58" s="72"/>
    </row>
    <row r="59" spans="1:9" ht="18">
      <c r="A59" s="137" t="s">
        <v>117</v>
      </c>
      <c r="B59" s="170"/>
      <c r="C59" s="137" t="s">
        <v>30</v>
      </c>
      <c r="D59" s="719"/>
      <c r="E59" s="138" t="s">
        <v>183</v>
      </c>
      <c r="F59" s="137" t="s">
        <v>77</v>
      </c>
      <c r="G59" s="138" t="s">
        <v>78</v>
      </c>
      <c r="H59" s="72"/>
      <c r="I59" s="72"/>
    </row>
    <row r="60" spans="1:9" ht="19.5">
      <c r="A60" s="74">
        <f>+A51+1</f>
        <v>8</v>
      </c>
      <c r="B60" s="73"/>
      <c r="C60" s="76" t="s">
        <v>325</v>
      </c>
      <c r="D60" s="73"/>
      <c r="E60" s="70"/>
      <c r="F60" s="73" t="s">
        <v>114</v>
      </c>
      <c r="G60" s="171"/>
      <c r="H60" s="72"/>
      <c r="I60" s="72"/>
    </row>
    <row r="61" spans="1:9" ht="19.5">
      <c r="A61" s="74">
        <f>+A60+1</f>
        <v>9</v>
      </c>
      <c r="B61" s="73"/>
      <c r="C61" s="73" t="s">
        <v>321</v>
      </c>
      <c r="D61" s="73"/>
      <c r="E61" s="77">
        <f>SUM(F62)</f>
        <v>8418465.2910974771</v>
      </c>
      <c r="F61" s="173"/>
      <c r="G61" s="171"/>
      <c r="H61" s="72"/>
      <c r="I61" s="72"/>
    </row>
    <row r="62" spans="1:9" ht="19.5">
      <c r="A62" s="74"/>
      <c r="B62" s="73"/>
      <c r="C62" s="73"/>
      <c r="D62" s="73"/>
      <c r="E62" s="77"/>
      <c r="F62" s="555">
        <v>8418465.2910974771</v>
      </c>
      <c r="G62" s="556"/>
      <c r="H62" s="72"/>
      <c r="I62" s="72"/>
    </row>
    <row r="63" spans="1:9" ht="19.5">
      <c r="A63" s="74">
        <f>+A61+1</f>
        <v>10</v>
      </c>
      <c r="B63" s="73"/>
      <c r="C63" s="73" t="s">
        <v>314</v>
      </c>
      <c r="D63" s="73"/>
      <c r="E63" s="77">
        <f>SUM(F64)</f>
        <v>64218</v>
      </c>
      <c r="F63" s="70"/>
      <c r="G63" s="196"/>
      <c r="H63" s="72"/>
      <c r="I63" s="72"/>
    </row>
    <row r="64" spans="1:9" ht="19.5">
      <c r="A64" s="74"/>
      <c r="B64" s="73"/>
      <c r="C64" s="73"/>
      <c r="D64" s="73"/>
      <c r="E64" s="77"/>
      <c r="F64" s="555">
        <v>64218</v>
      </c>
      <c r="G64" s="556"/>
      <c r="H64" s="72"/>
      <c r="I64" s="72"/>
    </row>
    <row r="65" spans="1:9" ht="19.5">
      <c r="A65" s="74">
        <f>+A63+1</f>
        <v>11</v>
      </c>
      <c r="B65" s="73"/>
      <c r="C65" s="73" t="s">
        <v>315</v>
      </c>
      <c r="D65" s="73"/>
      <c r="E65" s="77">
        <f>SUM(F66:F70)</f>
        <v>80672.723522260014</v>
      </c>
      <c r="F65" s="77"/>
      <c r="G65" s="171"/>
      <c r="H65" s="72"/>
      <c r="I65" s="72"/>
    </row>
    <row r="66" spans="1:9" ht="19.5">
      <c r="A66" s="74"/>
      <c r="B66" s="73"/>
      <c r="C66" s="73"/>
      <c r="D66" s="73"/>
      <c r="E66" s="77"/>
      <c r="F66" s="555">
        <v>80672.723522260014</v>
      </c>
      <c r="G66" s="556"/>
      <c r="H66" s="72"/>
      <c r="I66" s="72"/>
    </row>
    <row r="67" spans="1:9" ht="19.5">
      <c r="A67" s="74"/>
      <c r="B67" s="73"/>
      <c r="C67" s="73"/>
      <c r="D67" s="73"/>
      <c r="E67" s="77"/>
      <c r="F67" s="555"/>
      <c r="G67" s="556"/>
      <c r="H67" s="72"/>
      <c r="I67" s="72"/>
    </row>
    <row r="68" spans="1:9" ht="19.5">
      <c r="A68" s="74"/>
      <c r="B68" s="73"/>
      <c r="C68" s="73"/>
      <c r="D68" s="73"/>
      <c r="E68" s="77"/>
      <c r="F68" s="555"/>
      <c r="G68" s="556"/>
      <c r="H68" s="72"/>
      <c r="I68" s="72"/>
    </row>
    <row r="69" spans="1:9" ht="19.5">
      <c r="A69" s="72"/>
      <c r="B69" s="72"/>
      <c r="C69" s="72"/>
      <c r="D69" s="73"/>
      <c r="E69" s="70"/>
      <c r="F69" s="555"/>
      <c r="G69" s="556"/>
      <c r="H69" s="72"/>
      <c r="I69" s="72"/>
    </row>
    <row r="70" spans="1:9" ht="19.5">
      <c r="A70" s="72"/>
      <c r="B70" s="72"/>
      <c r="C70" s="72"/>
      <c r="D70" s="73"/>
      <c r="E70" s="70"/>
      <c r="F70" s="555"/>
      <c r="G70" s="556"/>
      <c r="H70" s="72"/>
      <c r="I70" s="72"/>
    </row>
    <row r="71" spans="1:9" ht="19.5">
      <c r="A71" s="74">
        <f>A65+1</f>
        <v>12</v>
      </c>
      <c r="B71" s="73"/>
      <c r="C71" s="76" t="s">
        <v>440</v>
      </c>
      <c r="D71" s="73"/>
      <c r="E71" s="77">
        <f>SUM(F72:F72)</f>
        <v>0</v>
      </c>
      <c r="F71" s="191"/>
      <c r="G71" s="192"/>
      <c r="H71" s="72"/>
      <c r="I71" s="72"/>
    </row>
    <row r="72" spans="1:9" ht="19.5">
      <c r="A72" s="74">
        <f>+A71+1</f>
        <v>13</v>
      </c>
      <c r="B72" s="73"/>
      <c r="C72" s="70" t="s">
        <v>441</v>
      </c>
      <c r="D72" s="148"/>
      <c r="E72" s="77"/>
      <c r="F72" s="555"/>
      <c r="G72" s="556"/>
      <c r="H72" s="72"/>
      <c r="I72" s="72"/>
    </row>
    <row r="73" spans="1:9" ht="19.5">
      <c r="A73" s="74"/>
      <c r="B73" s="73"/>
      <c r="C73" s="70"/>
      <c r="D73" s="73"/>
      <c r="E73" s="176"/>
      <c r="F73" s="191"/>
      <c r="G73" s="70"/>
      <c r="H73" s="72"/>
      <c r="I73" s="72"/>
    </row>
    <row r="74" spans="1:9" ht="19.5">
      <c r="A74" s="80">
        <f>+A72+1</f>
        <v>14</v>
      </c>
      <c r="B74" s="73"/>
      <c r="C74" s="76" t="s">
        <v>322</v>
      </c>
      <c r="D74" s="82"/>
      <c r="E74" s="70"/>
      <c r="F74" s="70"/>
      <c r="G74" s="70"/>
      <c r="H74" s="72"/>
      <c r="I74" s="72"/>
    </row>
    <row r="75" spans="1:9" ht="19.5">
      <c r="A75" s="80">
        <f>A74+1</f>
        <v>15</v>
      </c>
      <c r="B75" s="81"/>
      <c r="C75" s="70" t="s">
        <v>439</v>
      </c>
      <c r="D75" s="82"/>
      <c r="E75" s="77">
        <f>SUM(F76:F77)</f>
        <v>53830000</v>
      </c>
      <c r="F75" s="70"/>
      <c r="G75" s="70"/>
      <c r="H75" s="72"/>
      <c r="I75" s="72"/>
    </row>
    <row r="76" spans="1:9" ht="19.5">
      <c r="A76" s="80"/>
      <c r="B76" s="81"/>
      <c r="C76" s="70"/>
      <c r="D76" s="72"/>
      <c r="E76" s="176"/>
      <c r="F76" s="555">
        <v>53830000</v>
      </c>
      <c r="G76" s="556"/>
      <c r="H76" s="72"/>
      <c r="I76" s="72"/>
    </row>
    <row r="77" spans="1:9" ht="19.5">
      <c r="A77" s="80"/>
      <c r="B77" s="81"/>
      <c r="C77" s="70"/>
      <c r="D77" s="72"/>
      <c r="E77" s="176"/>
      <c r="F77" s="555"/>
      <c r="G77" s="556"/>
      <c r="H77" s="72"/>
      <c r="I77" s="72"/>
    </row>
    <row r="78" spans="1:9" ht="19.5">
      <c r="A78" s="80"/>
      <c r="B78" s="81"/>
      <c r="C78" s="70"/>
      <c r="D78" s="72"/>
      <c r="E78" s="176"/>
      <c r="F78" s="555"/>
      <c r="G78" s="556"/>
      <c r="H78" s="72"/>
      <c r="I78" s="72"/>
    </row>
    <row r="79" spans="1:9" ht="19.5">
      <c r="A79" s="74">
        <f>A75+1</f>
        <v>16</v>
      </c>
      <c r="B79" s="81"/>
      <c r="C79" s="70" t="s">
        <v>316</v>
      </c>
      <c r="D79" s="73"/>
      <c r="E79" s="77">
        <f>SUM(F80:F81)</f>
        <v>0</v>
      </c>
      <c r="F79" s="70"/>
      <c r="G79" s="70"/>
      <c r="H79" s="72"/>
      <c r="I79" s="72"/>
    </row>
    <row r="80" spans="1:9" ht="19.5">
      <c r="A80" s="74"/>
      <c r="B80" s="81"/>
      <c r="C80" s="70"/>
      <c r="D80" s="73"/>
      <c r="E80" s="77"/>
      <c r="F80" s="555"/>
      <c r="G80" s="556"/>
      <c r="H80" s="72"/>
      <c r="I80" s="72"/>
    </row>
    <row r="81" spans="1:9" ht="19.5">
      <c r="A81" s="74"/>
      <c r="B81" s="81"/>
      <c r="C81" s="70"/>
      <c r="D81" s="73"/>
      <c r="E81" s="77"/>
      <c r="F81" s="555"/>
      <c r="G81" s="556"/>
      <c r="H81" s="72"/>
      <c r="I81" s="72"/>
    </row>
    <row r="82" spans="1:9" ht="19.5">
      <c r="A82" s="74"/>
      <c r="B82" s="81"/>
      <c r="C82" s="70"/>
      <c r="D82" s="73"/>
      <c r="E82" s="77"/>
      <c r="F82" s="555"/>
      <c r="G82" s="556"/>
      <c r="H82" s="72"/>
      <c r="I82" s="72"/>
    </row>
    <row r="83" spans="1:9" ht="19.5">
      <c r="A83" s="74">
        <f>+A79+1</f>
        <v>17</v>
      </c>
      <c r="B83" s="73"/>
      <c r="C83" s="70" t="s">
        <v>317</v>
      </c>
      <c r="E83" s="77">
        <f>SUM(F84:F91)</f>
        <v>51910.01750000006</v>
      </c>
      <c r="F83" s="72"/>
      <c r="G83" s="72"/>
      <c r="H83" s="72"/>
      <c r="I83" s="72"/>
    </row>
    <row r="84" spans="1:9" ht="19.5">
      <c r="A84" s="74"/>
      <c r="B84" s="73"/>
      <c r="C84" s="70"/>
      <c r="E84" s="77"/>
      <c r="F84" s="555">
        <v>51910.01750000006</v>
      </c>
      <c r="G84" s="556"/>
      <c r="H84" s="72"/>
      <c r="I84" s="72"/>
    </row>
    <row r="85" spans="1:9" ht="19.5">
      <c r="A85" s="74"/>
      <c r="B85" s="73"/>
      <c r="C85" s="70"/>
      <c r="E85" s="77"/>
      <c r="F85" s="555"/>
      <c r="G85" s="556"/>
      <c r="H85" s="72"/>
      <c r="I85" s="72"/>
    </row>
    <row r="86" spans="1:9" ht="19.5">
      <c r="A86" s="74"/>
      <c r="B86" s="73"/>
      <c r="C86" s="70"/>
      <c r="E86" s="77"/>
      <c r="F86" s="555"/>
      <c r="G86" s="556"/>
      <c r="H86" s="72"/>
      <c r="I86" s="72"/>
    </row>
    <row r="87" spans="1:9" ht="19.5">
      <c r="A87" s="74"/>
      <c r="B87" s="73"/>
      <c r="C87" s="70"/>
      <c r="E87" s="77"/>
      <c r="F87" s="555"/>
      <c r="G87" s="556"/>
      <c r="H87" s="72"/>
      <c r="I87" s="72"/>
    </row>
    <row r="88" spans="1:9" ht="19.5">
      <c r="A88" s="74"/>
      <c r="B88" s="73"/>
      <c r="C88" s="70"/>
      <c r="E88" s="77"/>
      <c r="F88" s="555"/>
      <c r="G88" s="556"/>
      <c r="H88" s="72"/>
      <c r="I88" s="72"/>
    </row>
    <row r="89" spans="1:9" ht="19.5">
      <c r="A89" s="74"/>
      <c r="B89" s="73"/>
      <c r="C89" s="70"/>
      <c r="E89" s="77"/>
      <c r="F89" s="555"/>
      <c r="G89" s="556"/>
      <c r="H89" s="72"/>
      <c r="I89" s="72"/>
    </row>
    <row r="90" spans="1:9" ht="19.5">
      <c r="A90" s="74"/>
      <c r="B90" s="73"/>
      <c r="C90" s="70"/>
      <c r="E90" s="77"/>
      <c r="F90" s="555"/>
      <c r="G90" s="556"/>
      <c r="H90" s="72"/>
      <c r="I90" s="72"/>
    </row>
    <row r="91" spans="1:9" ht="19.5">
      <c r="A91" s="74"/>
      <c r="B91" s="73"/>
      <c r="C91" s="70"/>
      <c r="E91" s="77"/>
      <c r="F91" s="555"/>
      <c r="G91" s="556"/>
      <c r="H91" s="72"/>
      <c r="I91" s="72"/>
    </row>
    <row r="92" spans="1:9" ht="19.5">
      <c r="A92" s="74"/>
      <c r="B92" s="73"/>
      <c r="C92" s="70"/>
      <c r="E92" s="77"/>
      <c r="F92" s="70"/>
      <c r="G92" s="70"/>
      <c r="H92" s="72"/>
      <c r="I92" s="72"/>
    </row>
    <row r="93" spans="1:9" ht="19.5">
      <c r="A93" s="74">
        <f>+A83+1</f>
        <v>18</v>
      </c>
      <c r="B93" s="73"/>
      <c r="C93" s="70" t="s">
        <v>318</v>
      </c>
      <c r="E93" s="77">
        <f>SUM(F94:F99)</f>
        <v>0</v>
      </c>
      <c r="F93" s="70"/>
      <c r="G93" s="70"/>
      <c r="H93" s="72"/>
      <c r="I93" s="72"/>
    </row>
    <row r="94" spans="1:9" ht="19.5">
      <c r="A94" s="74"/>
      <c r="B94" s="73"/>
      <c r="C94" s="70"/>
      <c r="E94" s="77"/>
      <c r="F94" s="555"/>
      <c r="G94" s="556"/>
      <c r="H94" s="72"/>
      <c r="I94" s="72"/>
    </row>
    <row r="95" spans="1:9" ht="19.5">
      <c r="A95" s="74"/>
      <c r="B95" s="73"/>
      <c r="C95" s="70"/>
      <c r="E95" s="77"/>
      <c r="F95" s="555"/>
      <c r="G95" s="556"/>
      <c r="H95" s="72"/>
      <c r="I95" s="72"/>
    </row>
    <row r="96" spans="1:9" ht="19.5">
      <c r="A96" s="74"/>
      <c r="B96" s="73"/>
      <c r="C96" s="70"/>
      <c r="E96" s="77"/>
      <c r="F96" s="555"/>
      <c r="G96" s="556"/>
      <c r="H96" s="72"/>
      <c r="I96" s="72"/>
    </row>
    <row r="97" spans="1:9" ht="19.5">
      <c r="A97" s="74"/>
      <c r="B97" s="73"/>
      <c r="C97" s="70"/>
      <c r="E97" s="77"/>
      <c r="F97" s="555"/>
      <c r="G97" s="556"/>
      <c r="H97" s="72"/>
      <c r="I97" s="72"/>
    </row>
    <row r="98" spans="1:9" ht="19.5">
      <c r="A98" s="74"/>
      <c r="B98" s="73"/>
      <c r="C98" s="70"/>
      <c r="E98" s="77"/>
      <c r="F98" s="555"/>
      <c r="G98" s="556"/>
      <c r="H98" s="72"/>
      <c r="I98" s="72"/>
    </row>
    <row r="99" spans="1:9" ht="19.5">
      <c r="A99" s="74"/>
      <c r="B99" s="73"/>
      <c r="C99" s="70"/>
      <c r="E99" s="77"/>
      <c r="F99" s="555"/>
      <c r="G99" s="556"/>
      <c r="H99" s="72"/>
      <c r="I99" s="72"/>
    </row>
    <row r="100" spans="1:9" ht="19.5">
      <c r="A100" s="74">
        <f>+A93+1</f>
        <v>19</v>
      </c>
      <c r="B100" s="73"/>
      <c r="C100" s="70" t="s">
        <v>319</v>
      </c>
      <c r="D100" s="73"/>
      <c r="E100" s="77">
        <f>SUM(F101:F102)</f>
        <v>20754783.489999957</v>
      </c>
      <c r="F100" s="70"/>
      <c r="G100" s="192"/>
      <c r="H100" s="72"/>
      <c r="I100" s="72"/>
    </row>
    <row r="101" spans="1:9" ht="19.5">
      <c r="A101" s="74"/>
      <c r="B101" s="73"/>
      <c r="C101" s="70"/>
      <c r="D101" s="73"/>
      <c r="E101" s="77"/>
      <c r="F101" s="555">
        <v>20754783.489999957</v>
      </c>
      <c r="G101" s="556"/>
      <c r="H101" s="72"/>
      <c r="I101" s="72"/>
    </row>
    <row r="102" spans="1:9" ht="19.5">
      <c r="A102" s="74"/>
      <c r="B102" s="73"/>
      <c r="C102" s="70"/>
      <c r="D102" s="73"/>
      <c r="E102" s="176"/>
      <c r="F102" s="555"/>
      <c r="G102" s="556"/>
      <c r="H102" s="72"/>
      <c r="I102" s="72"/>
    </row>
    <row r="103" spans="1:9" ht="19.5">
      <c r="A103" s="74">
        <f>+A100+1</f>
        <v>20</v>
      </c>
      <c r="B103" s="73"/>
      <c r="C103" s="70" t="s">
        <v>320</v>
      </c>
      <c r="D103" s="72"/>
      <c r="E103" s="77">
        <f>SUM(F104:F106)</f>
        <v>1200</v>
      </c>
      <c r="F103" s="72"/>
      <c r="G103" s="70"/>
      <c r="H103" s="72"/>
      <c r="I103" s="72"/>
    </row>
    <row r="104" spans="1:9" ht="19.5">
      <c r="A104" s="74"/>
      <c r="B104" s="73"/>
      <c r="C104" s="70"/>
      <c r="D104" s="73"/>
      <c r="E104" s="77"/>
      <c r="F104" s="555">
        <v>1200</v>
      </c>
      <c r="G104" s="556"/>
      <c r="H104" s="72"/>
      <c r="I104" s="72"/>
    </row>
    <row r="105" spans="1:9" ht="19.5">
      <c r="A105" s="74"/>
      <c r="B105" s="73"/>
      <c r="C105" s="70"/>
      <c r="D105" s="73"/>
      <c r="E105" s="77"/>
      <c r="F105" s="555"/>
      <c r="G105" s="556"/>
      <c r="H105" s="72"/>
      <c r="I105" s="72"/>
    </row>
    <row r="106" spans="1:9" ht="19.5">
      <c r="A106" s="74"/>
      <c r="B106" s="73"/>
      <c r="C106" s="70"/>
      <c r="D106" s="73"/>
      <c r="E106" s="77"/>
      <c r="F106" s="70"/>
      <c r="G106" s="70"/>
      <c r="H106" s="72"/>
      <c r="I106" s="72"/>
    </row>
    <row r="107" spans="1:9" ht="19.5">
      <c r="A107" s="74">
        <f>+A103+1</f>
        <v>21</v>
      </c>
      <c r="B107" s="73"/>
      <c r="C107" s="70" t="s">
        <v>308</v>
      </c>
      <c r="D107" s="70"/>
      <c r="E107" s="77">
        <f>SUM(F108:F109)</f>
        <v>0</v>
      </c>
      <c r="F107" s="70"/>
      <c r="G107" s="70"/>
      <c r="H107" s="72"/>
      <c r="I107" s="72"/>
    </row>
    <row r="108" spans="1:9" ht="19.5">
      <c r="A108" s="74"/>
      <c r="B108" s="73"/>
      <c r="C108" s="70"/>
      <c r="D108" s="70"/>
      <c r="E108" s="77"/>
      <c r="F108" s="555"/>
      <c r="G108" s="556"/>
      <c r="H108" s="72"/>
      <c r="I108" s="72"/>
    </row>
    <row r="109" spans="1:9" ht="19.5">
      <c r="A109" s="74"/>
      <c r="B109" s="73"/>
      <c r="C109" s="70"/>
      <c r="D109" s="70"/>
      <c r="E109" s="77"/>
      <c r="F109" s="555"/>
      <c r="G109" s="556"/>
      <c r="H109" s="72"/>
      <c r="I109" s="72"/>
    </row>
    <row r="110" spans="1:9" ht="19.5">
      <c r="A110" s="74">
        <f>+A107+1</f>
        <v>22</v>
      </c>
      <c r="B110" s="70"/>
      <c r="C110" s="91" t="s">
        <v>1053</v>
      </c>
      <c r="D110" s="70"/>
      <c r="E110" s="77">
        <f>SUM(F111:F111)</f>
        <v>0</v>
      </c>
      <c r="F110" s="172"/>
      <c r="G110" s="70"/>
      <c r="H110" s="72"/>
      <c r="I110" s="72"/>
    </row>
    <row r="111" spans="1:9" ht="19.5">
      <c r="A111" s="74"/>
      <c r="B111" s="70"/>
      <c r="C111" s="91"/>
      <c r="D111" s="70"/>
      <c r="E111" s="77"/>
      <c r="F111" s="555"/>
      <c r="G111" s="556"/>
      <c r="H111" s="72"/>
      <c r="I111" s="72"/>
    </row>
    <row r="112" spans="1:9" ht="19.5">
      <c r="A112" s="4"/>
      <c r="B112" s="70"/>
      <c r="C112" s="166"/>
      <c r="F112" s="165"/>
      <c r="G112" s="1"/>
      <c r="H112" s="72"/>
      <c r="I112" s="72"/>
    </row>
    <row r="113" spans="1:9" ht="20.25" thickBot="1">
      <c r="A113" s="159">
        <f>+A110+1</f>
        <v>23</v>
      </c>
      <c r="B113" s="166"/>
      <c r="C113" s="70" t="s">
        <v>311</v>
      </c>
      <c r="E113" s="90">
        <f>E15+E25+E61+E63+E65+E75+E83+E79+E93+E100+E103+E107+E110</f>
        <v>190451335.52211973</v>
      </c>
      <c r="F113" s="90">
        <f>SUM(F15:F111)</f>
        <v>190451335.52211973</v>
      </c>
      <c r="G113" s="70"/>
      <c r="H113" s="72"/>
      <c r="I113" s="72"/>
    </row>
    <row r="114" spans="1:9" ht="20.25" thickTop="1">
      <c r="A114" s="4"/>
      <c r="B114" s="166"/>
      <c r="C114" s="70" t="s">
        <v>381</v>
      </c>
      <c r="F114" s="172"/>
      <c r="G114" s="70"/>
      <c r="H114" s="72"/>
      <c r="I114" s="72"/>
    </row>
    <row r="115" spans="1:9" ht="21">
      <c r="A115" s="4"/>
      <c r="B115" s="166"/>
      <c r="C115" s="70"/>
      <c r="E115" s="177"/>
      <c r="F115" s="112"/>
      <c r="G115" s="70"/>
      <c r="H115" s="72"/>
      <c r="I115" s="72"/>
    </row>
    <row r="116" spans="1:9" ht="20.25" customHeight="1">
      <c r="A116" s="1274" t="s">
        <v>760</v>
      </c>
      <c r="B116" s="1274"/>
      <c r="C116" s="1274"/>
      <c r="D116" s="1274"/>
      <c r="E116" s="1274"/>
      <c r="F116" s="1274"/>
      <c r="G116" s="1274"/>
      <c r="H116" s="72"/>
      <c r="I116" s="72"/>
    </row>
    <row r="117" spans="1:9" ht="20.25" customHeight="1">
      <c r="A117" s="1274"/>
      <c r="B117" s="1274"/>
      <c r="C117" s="1274"/>
      <c r="D117" s="1274"/>
      <c r="E117" s="1274"/>
      <c r="F117" s="1274"/>
      <c r="G117" s="1274"/>
      <c r="H117" s="72"/>
      <c r="I117" s="72"/>
    </row>
    <row r="118" spans="1:9" ht="20.25" customHeight="1">
      <c r="A118" s="1274"/>
      <c r="B118" s="1274"/>
      <c r="C118" s="1274"/>
      <c r="D118" s="1274"/>
      <c r="E118" s="1274"/>
      <c r="F118" s="1274"/>
      <c r="G118" s="1274"/>
      <c r="H118" s="72"/>
      <c r="I118" s="72"/>
    </row>
    <row r="119" spans="1:9" ht="20.25" customHeight="1">
      <c r="A119" s="1274"/>
      <c r="B119" s="1274"/>
      <c r="C119" s="1274"/>
      <c r="D119" s="1274"/>
      <c r="E119" s="1274"/>
      <c r="F119" s="1274"/>
      <c r="G119" s="1274"/>
      <c r="H119" s="72"/>
      <c r="I119" s="72"/>
    </row>
    <row r="120" spans="1:9" ht="20.25" customHeight="1">
      <c r="A120" s="1274"/>
      <c r="B120" s="1274"/>
      <c r="C120" s="1274"/>
      <c r="D120" s="1274"/>
      <c r="E120" s="1274"/>
      <c r="F120" s="1274"/>
      <c r="G120" s="1274"/>
      <c r="H120" s="72"/>
      <c r="I120" s="72"/>
    </row>
    <row r="121" spans="1:9" ht="20.25" customHeight="1">
      <c r="A121" s="753"/>
      <c r="B121" s="753"/>
      <c r="C121" s="753"/>
      <c r="D121" s="753"/>
      <c r="E121" s="753"/>
      <c r="F121" s="753"/>
      <c r="G121" s="753"/>
      <c r="H121" s="72"/>
      <c r="I121" s="72"/>
    </row>
    <row r="122" spans="1:9" ht="30.75" customHeight="1">
      <c r="A122" s="1273" t="s">
        <v>858</v>
      </c>
      <c r="B122" s="1273"/>
      <c r="C122" s="1273"/>
      <c r="D122" s="1273"/>
      <c r="E122" s="1273"/>
      <c r="F122" s="1273"/>
      <c r="G122" s="1273"/>
      <c r="H122" s="72"/>
      <c r="I122" s="72"/>
    </row>
    <row r="123" spans="1:9" ht="30.75" customHeight="1">
      <c r="A123" s="1273"/>
      <c r="B123" s="1273"/>
      <c r="C123" s="1273"/>
      <c r="D123" s="1273"/>
      <c r="E123" s="1273"/>
      <c r="F123" s="1273"/>
      <c r="G123" s="1273"/>
      <c r="H123" s="72"/>
      <c r="I123" s="72"/>
    </row>
  </sheetData>
  <mergeCells count="7">
    <mergeCell ref="A122:G123"/>
    <mergeCell ref="A116:G120"/>
    <mergeCell ref="A7:F7"/>
    <mergeCell ref="A3:F3"/>
    <mergeCell ref="A4:F4"/>
    <mergeCell ref="A5:F5"/>
    <mergeCell ref="A6:F6"/>
  </mergeCells>
  <phoneticPr fontId="70" type="noConversion"/>
  <pageMargins left="0.82" right="1.28" top="0.68" bottom="0.37" header="0.5" footer="0.5"/>
  <pageSetup scale="30"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J6"/>
  <sheetViews>
    <sheetView view="pageBreakPreview" topLeftCell="A2" zoomScale="60" zoomScaleNormal="100" workbookViewId="0">
      <selection activeCell="T69" sqref="T69"/>
    </sheetView>
  </sheetViews>
  <sheetFormatPr defaultRowHeight="12.75" customHeight="1"/>
  <cols>
    <col min="1" max="1" width="4.7109375" customWidth="1"/>
    <col min="3" max="3" width="13.85546875" customWidth="1"/>
    <col min="4" max="4" width="18.85546875" customWidth="1"/>
    <col min="5" max="5" width="13.140625" customWidth="1"/>
    <col min="6" max="6" width="12.5703125" customWidth="1"/>
    <col min="7" max="7" width="19.42578125" customWidth="1"/>
    <col min="8" max="8" width="19.28515625" customWidth="1"/>
    <col min="9" max="9" width="18.7109375" customWidth="1"/>
    <col min="10" max="10" width="1.42578125" customWidth="1"/>
    <col min="12" max="12" width="9.140625" customWidth="1"/>
  </cols>
  <sheetData>
    <row r="1" spans="1:10" ht="15.75">
      <c r="A1" s="581" t="s">
        <v>114</v>
      </c>
    </row>
    <row r="2" spans="1:10" ht="15.75">
      <c r="A2" s="581" t="s">
        <v>114</v>
      </c>
    </row>
    <row r="3" spans="1:10" ht="18">
      <c r="A3" s="1276" t="s">
        <v>387</v>
      </c>
      <c r="B3" s="1276"/>
      <c r="C3" s="1276"/>
      <c r="D3" s="1276"/>
      <c r="E3" s="1276"/>
      <c r="F3" s="1276"/>
      <c r="G3" s="1276"/>
      <c r="H3" s="1276"/>
      <c r="I3" s="1276"/>
      <c r="J3" s="1276"/>
    </row>
    <row r="4" spans="1:10" ht="18">
      <c r="A4" s="1275" t="str">
        <f>"Cost of Service Formula Rate Using "&amp;TCOS!L4&amp;" FF1 Balances"</f>
        <v>Cost of Service Formula Rate Using 2026 FF1 Balances</v>
      </c>
      <c r="B4" s="1275"/>
      <c r="C4" s="1275"/>
      <c r="D4" s="1275"/>
      <c r="E4" s="1275"/>
      <c r="F4" s="1275"/>
      <c r="G4" s="1275"/>
      <c r="H4" s="1275"/>
      <c r="I4" s="1275"/>
      <c r="J4" s="1275"/>
    </row>
    <row r="5" spans="1:10" ht="18">
      <c r="A5" s="1275" t="s">
        <v>546</v>
      </c>
      <c r="B5" s="1275"/>
      <c r="C5" s="1275"/>
      <c r="D5" s="1275"/>
      <c r="E5" s="1275"/>
      <c r="F5" s="1275"/>
      <c r="G5" s="1275"/>
      <c r="H5" s="1275"/>
      <c r="I5" s="1275"/>
      <c r="J5" s="1275"/>
    </row>
    <row r="6" spans="1:10" ht="18">
      <c r="A6" s="1269" t="str">
        <f>+TCOS!F9</f>
        <v>Appalachian Power Company</v>
      </c>
      <c r="B6" s="1269"/>
      <c r="C6" s="1269"/>
      <c r="D6" s="1269"/>
      <c r="E6" s="1269"/>
      <c r="F6" s="1269"/>
      <c r="G6" s="1269"/>
      <c r="H6" s="1269"/>
      <c r="I6" s="1269"/>
      <c r="J6" s="1269"/>
    </row>
  </sheetData>
  <mergeCells count="4">
    <mergeCell ref="A4:J4"/>
    <mergeCell ref="A3:J3"/>
    <mergeCell ref="A6:J6"/>
    <mergeCell ref="A5:J5"/>
  </mergeCells>
  <phoneticPr fontId="0" type="noConversion"/>
  <pageMargins left="0.26" right="0.61" top="1" bottom="1" header="0.75" footer="0.5"/>
  <pageSetup scale="75" orientation="portrait" r:id="rId1"/>
  <headerFooter alignWithMargins="0">
    <oddHeader>&amp;R&amp;"Arial,Bold"Formula Rate 
&amp;A
Page &amp;P of &amp;N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P1596"/>
  <sheetViews>
    <sheetView view="pageBreakPreview" zoomScale="85" zoomScaleNormal="100" zoomScaleSheetLayoutView="85" workbookViewId="0">
      <selection activeCell="N1508" sqref="N1508"/>
    </sheetView>
  </sheetViews>
  <sheetFormatPr defaultColWidth="8.85546875" defaultRowHeight="12.75" customHeight="1"/>
  <cols>
    <col min="1" max="1" width="4.7109375" customWidth="1"/>
    <col min="2" max="2" width="6.7109375" customWidth="1"/>
    <col min="3" max="3" width="42" customWidth="1"/>
    <col min="4" max="8" width="17.7109375" customWidth="1"/>
    <col min="9" max="9" width="17.7109375" bestFit="1" customWidth="1"/>
    <col min="10" max="10" width="2.140625" customWidth="1"/>
    <col min="11" max="11" width="20.7109375" customWidth="1"/>
    <col min="12" max="14" width="17.7109375" customWidth="1"/>
    <col min="15" max="15" width="16.7109375" customWidth="1"/>
    <col min="16" max="16" width="2.140625" customWidth="1"/>
  </cols>
  <sheetData>
    <row r="1" spans="1:16" ht="15.75">
      <c r="A1" s="581" t="s">
        <v>114</v>
      </c>
      <c r="D1" s="1"/>
      <c r="H1" s="351"/>
      <c r="P1" s="4"/>
    </row>
    <row r="2" spans="1:16" ht="15.75">
      <c r="A2" s="581" t="s">
        <v>114</v>
      </c>
      <c r="D2" s="1"/>
      <c r="H2" s="351"/>
      <c r="P2" s="4"/>
    </row>
    <row r="3" spans="1:16" ht="15">
      <c r="A3" s="1235" t="s">
        <v>387</v>
      </c>
      <c r="B3" s="1235"/>
      <c r="C3" s="1235"/>
      <c r="D3" s="1235"/>
      <c r="E3" s="1235"/>
      <c r="F3" s="1235"/>
      <c r="G3" s="1235"/>
      <c r="H3" s="1235"/>
      <c r="I3" s="1235"/>
      <c r="J3" s="1235"/>
      <c r="K3" s="1235"/>
      <c r="L3" s="1235"/>
      <c r="M3" s="1235"/>
      <c r="N3" s="1235"/>
      <c r="O3" s="1235"/>
      <c r="P3" s="4"/>
    </row>
    <row r="4" spans="1:16" ht="15">
      <c r="A4" s="1236" t="str">
        <f>"Cost of Service Formula Rate Using "&amp;TCOS!L4&amp;" FF1 Balances"</f>
        <v>Cost of Service Formula Rate Using 2026 FF1 Balances</v>
      </c>
      <c r="B4" s="1236"/>
      <c r="C4" s="1236"/>
      <c r="D4" s="1236"/>
      <c r="E4" s="1236"/>
      <c r="F4" s="1236"/>
      <c r="G4" s="1236"/>
      <c r="H4" s="1236"/>
      <c r="I4" s="1236"/>
      <c r="J4" s="1236"/>
      <c r="K4" s="1236"/>
      <c r="L4" s="1236"/>
      <c r="M4" s="1236"/>
      <c r="N4" s="1236"/>
      <c r="O4" s="1236"/>
      <c r="P4" s="4"/>
    </row>
    <row r="5" spans="1:16" ht="15">
      <c r="A5" s="1236" t="s">
        <v>468</v>
      </c>
      <c r="B5" s="1236"/>
      <c r="C5" s="1236"/>
      <c r="D5" s="1236"/>
      <c r="E5" s="1236"/>
      <c r="F5" s="1236"/>
      <c r="G5" s="1236"/>
      <c r="H5" s="1236"/>
      <c r="I5" s="1236"/>
      <c r="J5" s="1236"/>
      <c r="K5" s="1236"/>
      <c r="L5" s="1236"/>
      <c r="M5" s="1236"/>
      <c r="N5" s="1236"/>
      <c r="O5" s="1236"/>
      <c r="P5" s="4"/>
    </row>
    <row r="6" spans="1:16" ht="15">
      <c r="A6" s="1247" t="str">
        <f>TCOS!F9</f>
        <v>Appalachian Power Company</v>
      </c>
      <c r="B6" s="1247"/>
      <c r="C6" s="1247"/>
      <c r="D6" s="1247"/>
      <c r="E6" s="1247"/>
      <c r="F6" s="1247"/>
      <c r="G6" s="1247"/>
      <c r="H6" s="1247"/>
      <c r="I6" s="1247"/>
      <c r="J6" s="1247"/>
      <c r="K6" s="1247"/>
      <c r="L6" s="1247"/>
      <c r="M6" s="1247"/>
      <c r="N6" s="1247"/>
      <c r="O6" s="1247"/>
      <c r="P6" s="4"/>
    </row>
    <row r="7" spans="1:16">
      <c r="D7" s="1"/>
      <c r="H7" s="351"/>
      <c r="P7" s="4"/>
    </row>
    <row r="8" spans="1:16" ht="20.25">
      <c r="A8" s="352"/>
      <c r="D8" s="1"/>
      <c r="H8" s="351"/>
      <c r="N8" s="353" t="str">
        <f>"Page "&amp;P8&amp;" of "</f>
        <v xml:space="preserve">Page 1 of </v>
      </c>
      <c r="O8" s="354">
        <f>COUNT(P$8:P$56676)</f>
        <v>18</v>
      </c>
      <c r="P8" s="353">
        <v>1</v>
      </c>
    </row>
    <row r="9" spans="1:16" ht="18">
      <c r="C9" s="11"/>
      <c r="D9" s="1"/>
      <c r="H9" s="351"/>
      <c r="P9" s="4"/>
    </row>
    <row r="10" spans="1:16">
      <c r="D10" s="1"/>
      <c r="H10" s="351"/>
      <c r="P10" s="4"/>
    </row>
    <row r="11" spans="1:16" ht="18">
      <c r="B11" s="355" t="s">
        <v>171</v>
      </c>
      <c r="C11" s="1286" t="str">
        <f>"Calculate Return and Income Taxes with "&amp;F17&amp;" basis point ROE increase for Projects Qualified for Regional Billing."</f>
        <v>Calculate Return and Income Taxes with  basis point ROE increase for Projects Qualified for Regional Billing.</v>
      </c>
      <c r="D11" s="1287"/>
      <c r="E11" s="1287"/>
      <c r="F11" s="1287"/>
      <c r="G11" s="1287"/>
      <c r="H11" s="1287"/>
      <c r="P11" s="4"/>
    </row>
    <row r="12" spans="1:16" ht="18.75" customHeight="1">
      <c r="C12" s="1287"/>
      <c r="D12" s="1287"/>
      <c r="E12" s="1287"/>
      <c r="F12" s="1287"/>
      <c r="G12" s="1287"/>
      <c r="H12" s="1287"/>
      <c r="P12" s="4"/>
    </row>
    <row r="13" spans="1:16" ht="15.75" customHeight="1">
      <c r="C13" s="322"/>
      <c r="D13" s="322"/>
      <c r="E13" s="322"/>
      <c r="F13" s="322"/>
      <c r="G13" s="322"/>
      <c r="H13" s="322"/>
      <c r="P13" s="4"/>
    </row>
    <row r="14" spans="1:16" ht="15.75">
      <c r="C14" s="356" t="str">
        <f>"A.   Determine 'R' with hypothetical "&amp;F17&amp;" basis point increase in ROE for Identified Projects"</f>
        <v>A.   Determine 'R' with hypothetical  basis point increase in ROE for Identified Projects</v>
      </c>
      <c r="D14" s="1"/>
      <c r="H14" s="351"/>
      <c r="P14" s="4"/>
    </row>
    <row r="15" spans="1:16">
      <c r="D15" s="1"/>
      <c r="H15" s="351"/>
      <c r="P15" s="4"/>
    </row>
    <row r="16" spans="1:16">
      <c r="C16" s="357" t="str">
        <f>"   ROE w/o incentives  (TCOS, ln "&amp;TCOS!B273&amp;")"</f>
        <v xml:space="preserve">   ROE w/o incentives  (TCOS, ln 156)</v>
      </c>
      <c r="D16" s="1"/>
      <c r="E16" s="358"/>
      <c r="F16" s="359">
        <f>TCOS!J273</f>
        <v>0.10349999999999999</v>
      </c>
      <c r="G16" s="358"/>
      <c r="H16" s="360"/>
      <c r="I16" s="360"/>
      <c r="J16" s="360"/>
      <c r="K16" s="360"/>
      <c r="L16" s="360"/>
      <c r="M16" s="360"/>
      <c r="N16" s="360"/>
      <c r="O16" s="360"/>
      <c r="P16" s="360"/>
    </row>
    <row r="17" spans="3:16">
      <c r="C17" s="357" t="s">
        <v>252</v>
      </c>
      <c r="D17" s="1"/>
      <c r="E17" s="358"/>
      <c r="F17" s="557"/>
      <c r="G17" s="358"/>
      <c r="H17" s="360"/>
      <c r="I17" s="360"/>
      <c r="J17" s="360"/>
      <c r="P17" s="4"/>
    </row>
    <row r="18" spans="3:16">
      <c r="C18" s="357" t="str">
        <f>"   ROE with additional "&amp;F17&amp;" basis point incentive"</f>
        <v xml:space="preserve">   ROE with additional  basis point incentive</v>
      </c>
      <c r="D18" s="358"/>
      <c r="E18" s="358"/>
      <c r="F18" s="361">
        <f>IF((F16+(F17/10000)&gt;0.1274),"ERROR",F16+(F17/10000))</f>
        <v>0.10349999999999999</v>
      </c>
      <c r="G18" s="362"/>
      <c r="H18" s="360"/>
      <c r="I18" s="360"/>
      <c r="J18" s="360"/>
      <c r="P18" s="4"/>
    </row>
    <row r="19" spans="3:16">
      <c r="C19" s="357"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1"/>
      <c r="E19" s="358"/>
      <c r="F19" s="363"/>
      <c r="G19" s="358"/>
      <c r="H19" s="360"/>
      <c r="I19" s="360"/>
      <c r="J19" s="360"/>
      <c r="P19" s="4"/>
    </row>
    <row r="20" spans="3:16">
      <c r="C20" s="360"/>
      <c r="D20" s="364" t="s">
        <v>146</v>
      </c>
      <c r="E20" s="364" t="s">
        <v>145</v>
      </c>
      <c r="F20" s="365" t="s">
        <v>253</v>
      </c>
      <c r="G20" s="358"/>
      <c r="H20" s="360"/>
      <c r="I20" s="360"/>
      <c r="J20" s="360"/>
      <c r="P20" s="4"/>
    </row>
    <row r="21" spans="3:16" ht="13.5" thickBot="1">
      <c r="C21" s="366" t="s">
        <v>257</v>
      </c>
      <c r="D21" s="367">
        <f>TCOS!H271</f>
        <v>0.49463400713873773</v>
      </c>
      <c r="E21" s="367">
        <f>TCOS!J271</f>
        <v>4.7636169060665617E-2</v>
      </c>
      <c r="F21" s="368">
        <f>E21*D21</f>
        <v>2.3562469187215395E-2</v>
      </c>
      <c r="G21" s="358"/>
      <c r="H21" s="360"/>
      <c r="I21" s="369"/>
      <c r="J21" s="369"/>
      <c r="K21" s="166"/>
      <c r="L21" s="166"/>
      <c r="M21" s="166"/>
      <c r="N21" s="166"/>
      <c r="O21" s="166"/>
      <c r="P21" s="4"/>
    </row>
    <row r="22" spans="3:16">
      <c r="C22" s="366" t="s">
        <v>258</v>
      </c>
      <c r="D22" s="367">
        <f>TCOS!H272</f>
        <v>0</v>
      </c>
      <c r="E22" s="367">
        <f>TCOS!J272</f>
        <v>0</v>
      </c>
      <c r="F22" s="368">
        <f>E22*D22</f>
        <v>0</v>
      </c>
      <c r="G22" s="370"/>
      <c r="H22" s="370"/>
      <c r="I22" s="371"/>
      <c r="J22" s="371"/>
      <c r="K22" s="1280" t="s">
        <v>451</v>
      </c>
      <c r="L22" s="1281"/>
      <c r="M22" s="1281"/>
      <c r="N22" s="1281"/>
      <c r="O22" s="1282"/>
      <c r="P22" s="371"/>
    </row>
    <row r="23" spans="3:16">
      <c r="C23" s="366" t="s">
        <v>244</v>
      </c>
      <c r="D23" s="367">
        <f>TCOS!H273</f>
        <v>0.50536599286126227</v>
      </c>
      <c r="E23" s="367">
        <f>+F18</f>
        <v>0.10349999999999999</v>
      </c>
      <c r="F23" s="372">
        <f>E23*D23</f>
        <v>5.2305380261140642E-2</v>
      </c>
      <c r="G23" s="370"/>
      <c r="H23" s="370"/>
      <c r="I23" s="371"/>
      <c r="J23" s="371"/>
      <c r="K23" s="1283"/>
      <c r="L23" s="1284"/>
      <c r="M23" s="1284"/>
      <c r="N23" s="1284"/>
      <c r="O23" s="1285"/>
      <c r="P23" s="371"/>
    </row>
    <row r="24" spans="3:16">
      <c r="C24" s="357"/>
      <c r="E24" s="373" t="s">
        <v>260</v>
      </c>
      <c r="F24" s="368">
        <f>SUM(F21:F23)</f>
        <v>7.5867849448356034E-2</v>
      </c>
      <c r="G24" s="370"/>
      <c r="H24" s="370"/>
      <c r="I24" s="371"/>
      <c r="J24" s="371"/>
      <c r="K24" s="374"/>
      <c r="L24" s="375"/>
      <c r="M24" s="376" t="s">
        <v>254</v>
      </c>
      <c r="N24" s="376" t="s">
        <v>255</v>
      </c>
      <c r="O24" s="377" t="s">
        <v>256</v>
      </c>
      <c r="P24" s="371"/>
    </row>
    <row r="25" spans="3:16">
      <c r="C25" s="4"/>
      <c r="D25" s="378"/>
      <c r="E25" s="378"/>
      <c r="F25" s="370"/>
      <c r="G25" s="370"/>
      <c r="H25" s="370"/>
      <c r="I25" s="370"/>
      <c r="J25" s="370"/>
      <c r="K25" s="379"/>
      <c r="L25" s="166"/>
      <c r="M25" s="166"/>
      <c r="N25" s="166"/>
      <c r="O25" s="380"/>
      <c r="P25" s="370"/>
    </row>
    <row r="26" spans="3:16" ht="16.5" thickBot="1">
      <c r="C26" s="356" t="str">
        <f>"B.   Determine Return using 'R' with hypothetical "&amp;F17&amp;" basis point ROE increase for Identified Projects."</f>
        <v>B.   Determine Return using 'R' with hypothetical  basis point ROE increase for Identified Projects.</v>
      </c>
      <c r="D26" s="378"/>
      <c r="E26" s="378"/>
      <c r="F26" s="370"/>
      <c r="G26" s="370"/>
      <c r="H26" s="358"/>
      <c r="I26" s="370"/>
      <c r="J26" s="370"/>
      <c r="K26" s="381" t="s">
        <v>261</v>
      </c>
      <c r="L26" s="382">
        <f>TCOS!L4</f>
        <v>2026</v>
      </c>
      <c r="M26" s="558">
        <f>N89+N179+N268+N357+N446+N535+N624+N713+N802+N891+N980+N1069+N1158+N1247+N1336+N1425+N1514</f>
        <v>29648267.104692813</v>
      </c>
      <c r="N26" s="558">
        <f>N90+N180+N269+N358+N447+N536+N625+N714+N803+N892+N981+N1070+N1159+N1248+N1337+N1426+N1515</f>
        <v>29648267.104692813</v>
      </c>
      <c r="O26" s="383">
        <f>+N26-M26</f>
        <v>0</v>
      </c>
      <c r="P26" s="370"/>
    </row>
    <row r="27" spans="3:16">
      <c r="C27" s="360"/>
      <c r="D27" s="378"/>
      <c r="E27" s="378"/>
      <c r="F27" s="370"/>
      <c r="G27" s="370"/>
      <c r="H27" s="370"/>
      <c r="I27" s="370"/>
      <c r="J27" s="370"/>
      <c r="K27" s="384"/>
      <c r="L27" s="384"/>
      <c r="M27" s="384"/>
      <c r="N27" s="384"/>
      <c r="O27" s="384"/>
      <c r="P27" s="370"/>
    </row>
    <row r="28" spans="3:16">
      <c r="C28" s="385" t="str">
        <f>"   Rate Base  (TCOS, ln "&amp;TCOS!B131&amp;")"</f>
        <v xml:space="preserve">   Rate Base  (TCOS, ln 68)</v>
      </c>
      <c r="D28" s="358"/>
      <c r="F28" s="386">
        <f>TCOS!L131</f>
        <v>3699050474.1765723</v>
      </c>
      <c r="G28" s="370"/>
      <c r="H28" s="370"/>
      <c r="I28" s="370"/>
      <c r="J28" s="370"/>
      <c r="K28" s="384"/>
      <c r="L28" s="384"/>
      <c r="M28" s="384"/>
      <c r="N28" s="384"/>
      <c r="O28" s="387"/>
      <c r="P28" s="370"/>
    </row>
    <row r="29" spans="3:16">
      <c r="C29" s="360" t="s">
        <v>474</v>
      </c>
      <c r="D29" s="388"/>
      <c r="F29" s="368">
        <f>F24</f>
        <v>7.5867849448356034E-2</v>
      </c>
      <c r="G29" s="370"/>
      <c r="H29" s="370"/>
      <c r="I29" s="370"/>
      <c r="J29" s="370"/>
      <c r="K29" s="370"/>
      <c r="L29" s="370"/>
      <c r="M29" s="370"/>
      <c r="N29" s="370"/>
      <c r="O29" s="370"/>
      <c r="P29" s="370"/>
    </row>
    <row r="30" spans="3:16">
      <c r="C30" s="389" t="s">
        <v>262</v>
      </c>
      <c r="D30" s="389"/>
      <c r="F30" s="371">
        <f>F28*F29</f>
        <v>280639004.47669816</v>
      </c>
      <c r="G30" s="370"/>
      <c r="H30" s="370"/>
      <c r="I30" s="371"/>
      <c r="J30" s="371"/>
      <c r="K30" s="371"/>
      <c r="L30" s="371"/>
      <c r="M30" s="371"/>
      <c r="N30" s="371"/>
      <c r="O30" s="370"/>
      <c r="P30" s="371"/>
    </row>
    <row r="31" spans="3:16">
      <c r="C31" s="389"/>
      <c r="D31" s="360"/>
      <c r="E31" s="360"/>
      <c r="F31" s="370"/>
      <c r="G31" s="370"/>
      <c r="H31" s="370"/>
      <c r="I31" s="371"/>
      <c r="J31" s="371"/>
      <c r="K31" s="371"/>
      <c r="L31" s="371"/>
      <c r="M31" s="371"/>
      <c r="N31" s="371"/>
      <c r="O31" s="370"/>
      <c r="P31" s="371"/>
    </row>
    <row r="32" spans="3:16" ht="15.75">
      <c r="C32" s="356" t="str">
        <f>"C.   Determine Income Taxes using Return with hypothetical "&amp;F17&amp;" basis point ROE increase for Identified Projects."</f>
        <v>C.   Determine Income Taxes using Return with hypothetical  basis point ROE increase for Identified Projects.</v>
      </c>
      <c r="D32" s="390"/>
      <c r="E32" s="390"/>
      <c r="F32" s="391"/>
      <c r="G32" s="391"/>
      <c r="H32" s="391"/>
      <c r="I32" s="392"/>
      <c r="J32" s="392"/>
      <c r="K32" s="392"/>
      <c r="L32" s="392"/>
      <c r="M32" s="392"/>
      <c r="N32" s="392"/>
      <c r="O32" s="391"/>
      <c r="P32" s="392"/>
    </row>
    <row r="33" spans="2:16">
      <c r="C33" s="357"/>
      <c r="D33" s="360"/>
      <c r="E33" s="360"/>
      <c r="F33" s="370"/>
      <c r="G33" s="370"/>
      <c r="H33" s="370"/>
      <c r="I33" s="371"/>
      <c r="J33" s="371"/>
      <c r="K33" s="371"/>
      <c r="L33" s="371"/>
      <c r="M33" s="371"/>
      <c r="N33" s="371"/>
      <c r="O33" s="370"/>
      <c r="P33" s="371"/>
    </row>
    <row r="34" spans="2:16">
      <c r="C34" s="360" t="s">
        <v>263</v>
      </c>
      <c r="D34" s="373"/>
      <c r="F34" s="393">
        <f>F30</f>
        <v>280639004.47669816</v>
      </c>
      <c r="G34" s="370"/>
      <c r="H34" s="370"/>
      <c r="I34" s="370"/>
      <c r="J34" s="370"/>
      <c r="K34" s="370"/>
      <c r="L34" s="370"/>
      <c r="M34" s="370"/>
      <c r="N34" s="370"/>
      <c r="O34" s="370"/>
      <c r="P34" s="370"/>
    </row>
    <row r="35" spans="2:16">
      <c r="C35" s="385" t="str">
        <f>"   Effective Tax Rate  (TCOS, ln "&amp;TCOS!B198&amp;")"</f>
        <v xml:space="preserve">   Effective Tax Rate  (TCOS, ln 114)</v>
      </c>
      <c r="D35" s="67"/>
      <c r="F35" s="394">
        <f>TCOS!G198</f>
        <v>0.20893350266638444</v>
      </c>
      <c r="G35" s="4"/>
      <c r="H35" s="395"/>
      <c r="I35" s="4"/>
      <c r="J35" s="4"/>
      <c r="K35" s="4"/>
      <c r="L35" s="4"/>
      <c r="M35" s="4"/>
      <c r="N35" s="4"/>
      <c r="O35" s="4"/>
      <c r="P35" s="4"/>
    </row>
    <row r="36" spans="2:16">
      <c r="C36" s="389" t="s">
        <v>264</v>
      </c>
      <c r="D36" s="67"/>
      <c r="F36" s="396">
        <f>F34*F35</f>
        <v>58634890.190123692</v>
      </c>
      <c r="G36" s="4"/>
      <c r="H36" s="395"/>
      <c r="I36" s="4"/>
      <c r="J36" s="4"/>
      <c r="K36" s="4"/>
      <c r="L36" s="4"/>
      <c r="M36" s="4"/>
      <c r="N36" s="4"/>
      <c r="O36" s="4"/>
      <c r="P36" s="4"/>
    </row>
    <row r="37" spans="2:16" ht="15">
      <c r="C37" s="357" t="s">
        <v>302</v>
      </c>
      <c r="D37" s="204"/>
      <c r="F37" s="370">
        <f>TCOS!L207</f>
        <v>0</v>
      </c>
      <c r="G37" s="204"/>
      <c r="H37" s="204"/>
      <c r="I37" s="204"/>
      <c r="J37" s="204"/>
      <c r="K37" s="204"/>
      <c r="L37" s="204"/>
      <c r="M37" s="204"/>
      <c r="N37" s="204"/>
      <c r="O37" s="218"/>
      <c r="P37" s="204"/>
    </row>
    <row r="38" spans="2:16" ht="15">
      <c r="C38" s="357" t="s">
        <v>532</v>
      </c>
      <c r="D38" s="204"/>
      <c r="F38" s="370">
        <f>TCOS!L208</f>
        <v>-6350033.8058547713</v>
      </c>
      <c r="G38" s="204"/>
      <c r="H38" s="204"/>
      <c r="I38" s="204"/>
      <c r="J38" s="204"/>
      <c r="K38" s="204"/>
      <c r="L38" s="204"/>
      <c r="M38" s="204"/>
      <c r="N38" s="204"/>
      <c r="O38" s="218"/>
      <c r="P38" s="204"/>
    </row>
    <row r="39" spans="2:16" ht="15">
      <c r="C39" s="357" t="s">
        <v>533</v>
      </c>
      <c r="D39" s="204"/>
      <c r="F39" s="397">
        <f>TCOS!L209</f>
        <v>3428531.6655523279</v>
      </c>
      <c r="G39" s="204"/>
      <c r="H39" s="204"/>
      <c r="I39" s="204"/>
      <c r="J39" s="204"/>
      <c r="K39" s="204"/>
      <c r="L39" s="204"/>
      <c r="M39" s="204"/>
      <c r="N39" s="204"/>
      <c r="O39" s="218"/>
      <c r="P39" s="204"/>
    </row>
    <row r="40" spans="2:16" ht="15">
      <c r="C40" s="389" t="s">
        <v>265</v>
      </c>
      <c r="D40" s="204"/>
      <c r="F40" s="370">
        <f>F36+F37+F38+F39</f>
        <v>55713388.04982125</v>
      </c>
      <c r="G40" s="204"/>
      <c r="H40" s="204"/>
      <c r="I40" s="204"/>
      <c r="J40" s="204"/>
      <c r="K40" s="204"/>
      <c r="L40" s="204"/>
      <c r="M40" s="204"/>
      <c r="N40" s="204"/>
      <c r="O40" s="217"/>
      <c r="P40" s="204"/>
    </row>
    <row r="41" spans="2:16" ht="12.75" customHeight="1">
      <c r="C41" s="203"/>
      <c r="D41" s="204"/>
      <c r="E41" s="204"/>
      <c r="F41" s="204"/>
      <c r="G41" s="204"/>
      <c r="H41" s="204"/>
      <c r="I41" s="204"/>
      <c r="J41" s="204"/>
      <c r="K41" s="204"/>
      <c r="L41" s="204"/>
      <c r="M41" s="204"/>
      <c r="N41" s="204"/>
      <c r="O41" s="217"/>
      <c r="P41" s="204"/>
    </row>
    <row r="42" spans="2:16" ht="18.75">
      <c r="B42" s="355" t="s">
        <v>172</v>
      </c>
      <c r="C42" s="11" t="str">
        <f>"Calculate Net Plant Carrying Charge Rate (Fixed Charge Rate or FCR) with hypothetical "&amp;F17&amp;""</f>
        <v xml:space="preserve">Calculate Net Plant Carrying Charge Rate (Fixed Charge Rate or FCR) with hypothetical </v>
      </c>
      <c r="D42" s="204"/>
      <c r="E42" s="204"/>
      <c r="F42" s="204"/>
      <c r="G42" s="204"/>
      <c r="H42" s="204"/>
      <c r="I42" s="204"/>
      <c r="J42" s="204"/>
      <c r="K42" s="204"/>
      <c r="L42" s="204"/>
      <c r="M42" s="204"/>
      <c r="N42" s="204"/>
      <c r="O42" s="217"/>
      <c r="P42" s="204"/>
    </row>
    <row r="43" spans="2:16" ht="18.75" customHeight="1">
      <c r="C43" s="11" t="str">
        <f>"basis point ROE increase."</f>
        <v>basis point ROE increase.</v>
      </c>
      <c r="D43" s="204"/>
      <c r="E43" s="204"/>
      <c r="F43" s="204"/>
      <c r="G43" s="204"/>
      <c r="H43" s="204"/>
      <c r="I43" s="204"/>
      <c r="J43" s="204"/>
      <c r="K43" s="204"/>
      <c r="L43" s="204"/>
      <c r="M43" s="204"/>
      <c r="N43" s="204"/>
      <c r="O43" s="217"/>
      <c r="P43" s="204"/>
    </row>
    <row r="44" spans="2:16" ht="12.75" customHeight="1">
      <c r="C44" s="11"/>
      <c r="D44" s="204"/>
      <c r="E44" s="204"/>
      <c r="F44" s="204"/>
      <c r="G44" s="204"/>
      <c r="H44" s="204"/>
      <c r="I44" s="204"/>
      <c r="J44" s="204"/>
      <c r="K44" s="204"/>
      <c r="L44" s="204"/>
      <c r="M44" s="204"/>
      <c r="N44" s="204"/>
      <c r="O44" s="217"/>
      <c r="P44" s="204"/>
    </row>
    <row r="45" spans="2:16" ht="15.75">
      <c r="C45" s="356" t="s">
        <v>465</v>
      </c>
      <c r="D45" s="204"/>
      <c r="E45" s="204"/>
      <c r="F45" s="203"/>
      <c r="G45" s="204"/>
      <c r="H45" s="204"/>
      <c r="I45" s="204"/>
      <c r="J45" s="204"/>
      <c r="K45" s="204"/>
      <c r="L45" s="204"/>
      <c r="M45" s="204"/>
      <c r="N45" s="204"/>
      <c r="O45" s="217"/>
      <c r="P45" s="204"/>
    </row>
    <row r="46" spans="2:16">
      <c r="B46" s="4"/>
      <c r="C46" s="357"/>
      <c r="D46" s="358"/>
      <c r="E46" s="358"/>
      <c r="F46" s="358"/>
      <c r="G46" s="358"/>
      <c r="H46" s="358"/>
      <c r="I46" s="358"/>
      <c r="J46" s="358"/>
      <c r="K46" s="358"/>
      <c r="L46" s="358"/>
      <c r="M46" s="358"/>
      <c r="N46" s="358"/>
      <c r="O46" s="370"/>
      <c r="P46" s="358"/>
    </row>
    <row r="47" spans="2:16" ht="12.75" customHeight="1">
      <c r="B47" s="4"/>
      <c r="C47" s="385" t="str">
        <f>"   Annual Revenue Requirement  (TCOS, ln "&amp;TCOS!B13&amp;")"</f>
        <v xml:space="preserve">   Annual Revenue Requirement  (TCOS, ln 1)</v>
      </c>
      <c r="D47" s="358"/>
      <c r="E47" s="358"/>
      <c r="G47" s="370">
        <f>TCOS!L13</f>
        <v>609212609.686764</v>
      </c>
      <c r="H47" s="358"/>
      <c r="I47" s="358"/>
      <c r="J47" s="358"/>
      <c r="K47" s="358"/>
      <c r="L47" s="358"/>
      <c r="M47" s="358"/>
      <c r="N47" s="358"/>
      <c r="O47" s="370"/>
      <c r="P47" s="358"/>
    </row>
    <row r="48" spans="2:16" ht="12.75" customHeight="1">
      <c r="B48" s="4"/>
      <c r="C48" s="385" t="str">
        <f>"   Lease Payments (TCOS, Ln "&amp;TCOS!B175&amp;")"</f>
        <v xml:space="preserve">   Lease Payments (TCOS, Ln 95)</v>
      </c>
      <c r="D48" s="358"/>
      <c r="E48" s="358"/>
      <c r="G48" s="370">
        <f>TCOS!L175</f>
        <v>0</v>
      </c>
      <c r="H48" s="358"/>
      <c r="I48" s="358"/>
      <c r="J48" s="358"/>
      <c r="K48" s="358"/>
      <c r="L48" s="358"/>
      <c r="M48" s="358"/>
      <c r="N48" s="358"/>
      <c r="O48" s="370"/>
      <c r="P48" s="358"/>
    </row>
    <row r="49" spans="2:16">
      <c r="B49" s="4"/>
      <c r="C49" s="385" t="str">
        <f>"   Return  (TCOS, ln "&amp;TCOS!B213&amp;")"</f>
        <v xml:space="preserve">   Return  (TCOS, ln 126)</v>
      </c>
      <c r="D49" s="358"/>
      <c r="E49" s="358"/>
      <c r="G49" s="371">
        <f>TCOS!L213</f>
        <v>280639004.47669816</v>
      </c>
      <c r="H49" s="357"/>
      <c r="I49" s="357"/>
      <c r="J49" s="357"/>
      <c r="K49" s="357"/>
      <c r="L49" s="357"/>
      <c r="M49" s="357"/>
      <c r="N49" s="357"/>
      <c r="O49" s="370"/>
      <c r="P49" s="357"/>
    </row>
    <row r="50" spans="2:16">
      <c r="B50" s="4"/>
      <c r="C50" s="385" t="str">
        <f>"   Income Taxes  (TCOS, ln "&amp;TCOS!B211&amp;")"</f>
        <v xml:space="preserve">   Income Taxes  (TCOS, ln 125)</v>
      </c>
      <c r="D50" s="358"/>
      <c r="E50" s="358"/>
      <c r="G50" s="398">
        <f>TCOS!L211</f>
        <v>55713388.04982125</v>
      </c>
      <c r="H50" s="358"/>
      <c r="I50" s="399"/>
      <c r="J50" s="399"/>
      <c r="K50" s="399"/>
      <c r="L50" s="399"/>
      <c r="M50" s="399"/>
      <c r="N50" s="399"/>
      <c r="O50" s="358"/>
      <c r="P50" s="399"/>
    </row>
    <row r="51" spans="2:16">
      <c r="B51" s="4"/>
      <c r="C51" s="4" t="s">
        <v>590</v>
      </c>
      <c r="D51" s="358"/>
      <c r="E51" s="358"/>
      <c r="G51" s="371">
        <f>G47-G49-G50-G48</f>
        <v>272860217.16024458</v>
      </c>
      <c r="H51" s="358"/>
      <c r="I51" s="400"/>
      <c r="J51" s="400"/>
      <c r="K51" s="400"/>
      <c r="L51" s="400"/>
      <c r="M51" s="400"/>
      <c r="N51" s="400"/>
      <c r="O51" s="400"/>
      <c r="P51" s="400"/>
    </row>
    <row r="52" spans="2:16">
      <c r="B52" s="4"/>
      <c r="C52" s="357"/>
      <c r="D52" s="358"/>
      <c r="E52" s="358"/>
      <c r="F52" s="370"/>
      <c r="G52" s="401"/>
      <c r="H52" s="402"/>
      <c r="I52" s="402"/>
      <c r="J52" s="402"/>
      <c r="K52" s="402"/>
      <c r="L52" s="402"/>
      <c r="M52" s="402"/>
      <c r="N52" s="402"/>
      <c r="O52" s="402"/>
      <c r="P52" s="402"/>
    </row>
    <row r="53" spans="2:16" ht="15.75">
      <c r="B53" s="4"/>
      <c r="C53" s="356" t="str">
        <f>"B.   Determine Annual Revenue Requirement with hypothetical "&amp;F17&amp;" basis point increase in ROE."</f>
        <v>B.   Determine Annual Revenue Requirement with hypothetical  basis point increase in ROE.</v>
      </c>
      <c r="D53" s="360"/>
      <c r="E53" s="360"/>
      <c r="F53" s="370"/>
      <c r="G53" s="401"/>
      <c r="H53" s="402"/>
      <c r="I53" s="402"/>
      <c r="J53" s="402"/>
      <c r="K53" s="402"/>
      <c r="L53" s="402"/>
      <c r="M53" s="402"/>
      <c r="N53" s="402"/>
      <c r="O53" s="402"/>
      <c r="P53" s="402"/>
    </row>
    <row r="54" spans="2:16">
      <c r="B54" s="4"/>
      <c r="C54" s="357"/>
      <c r="D54" s="360"/>
      <c r="E54" s="360"/>
      <c r="F54" s="370"/>
      <c r="G54" s="401"/>
      <c r="H54" s="402"/>
      <c r="I54" s="402"/>
      <c r="J54" s="402"/>
      <c r="K54" s="402"/>
      <c r="L54" s="402"/>
      <c r="M54" s="402"/>
      <c r="N54" s="402"/>
      <c r="O54" s="402"/>
      <c r="P54" s="402"/>
    </row>
    <row r="55" spans="2:16">
      <c r="B55" s="4"/>
      <c r="C55" s="357" t="str">
        <f>C51</f>
        <v xml:space="preserve">   Annual Revenue Requirement, Less Lease Payments, Return and Taxes</v>
      </c>
      <c r="D55" s="360"/>
      <c r="E55" s="360"/>
      <c r="G55" s="370">
        <f>G51</f>
        <v>272860217.16024458</v>
      </c>
      <c r="H55" s="358"/>
      <c r="I55" s="358"/>
      <c r="J55" s="358"/>
      <c r="K55" s="358"/>
      <c r="L55" s="358"/>
      <c r="M55" s="358"/>
      <c r="N55" s="358"/>
      <c r="O55" s="403"/>
      <c r="P55" s="358"/>
    </row>
    <row r="56" spans="2:16">
      <c r="B56" s="4"/>
      <c r="C56" s="360" t="s">
        <v>299</v>
      </c>
      <c r="D56" s="67"/>
      <c r="E56" s="4"/>
      <c r="G56" s="396">
        <f>F30</f>
        <v>280639004.47669816</v>
      </c>
      <c r="H56" s="404"/>
      <c r="I56" s="4"/>
      <c r="J56" s="4"/>
      <c r="K56" s="4"/>
      <c r="L56" s="4"/>
      <c r="M56" s="4"/>
      <c r="N56" s="4"/>
      <c r="O56" s="4"/>
      <c r="P56" s="4"/>
    </row>
    <row r="57" spans="2:16" ht="12.75" customHeight="1">
      <c r="B57" s="4"/>
      <c r="C57" s="357" t="s">
        <v>266</v>
      </c>
      <c r="D57" s="358"/>
      <c r="E57" s="358"/>
      <c r="G57" s="398">
        <f>F40</f>
        <v>55713388.04982125</v>
      </c>
      <c r="H57" s="395"/>
      <c r="I57" s="4"/>
      <c r="J57" s="4"/>
      <c r="K57" s="4"/>
      <c r="L57" s="4"/>
      <c r="M57" s="4"/>
      <c r="N57" s="4"/>
      <c r="O57" s="4"/>
      <c r="P57" s="4"/>
    </row>
    <row r="58" spans="2:16">
      <c r="B58" s="4"/>
      <c r="C58" s="4" t="str">
        <f>"   Annual Revenue Requirement, with "&amp;F17&amp;" Basis Point ROE increase"</f>
        <v xml:space="preserve">   Annual Revenue Requirement, with  Basis Point ROE increase</v>
      </c>
      <c r="D58" s="67"/>
      <c r="E58" s="4"/>
      <c r="G58" s="396">
        <f>SUM(G55:G57)</f>
        <v>609212609.686764</v>
      </c>
      <c r="H58" s="395"/>
      <c r="I58" s="4"/>
      <c r="J58" s="4"/>
      <c r="K58" s="4"/>
      <c r="L58" s="4"/>
      <c r="M58" s="4"/>
      <c r="N58" s="4"/>
      <c r="O58" s="4"/>
      <c r="P58" s="4"/>
    </row>
    <row r="59" spans="2:16">
      <c r="B59" s="4"/>
      <c r="C59" s="385" t="str">
        <f>"   Depreciation  (TCOS, ln "&amp;TCOS!B181&amp;")"</f>
        <v xml:space="preserve">   Depreciation  (TCOS, ln 100)</v>
      </c>
      <c r="D59" s="67"/>
      <c r="E59" s="4"/>
      <c r="G59" s="405">
        <f>TCOS!L181</f>
        <v>135866543.5941073</v>
      </c>
      <c r="H59" s="395"/>
      <c r="I59" s="4"/>
      <c r="J59" s="4"/>
      <c r="K59" s="4"/>
      <c r="L59" s="4"/>
      <c r="M59" s="4"/>
      <c r="N59" s="4"/>
      <c r="O59" s="4"/>
      <c r="P59" s="4"/>
    </row>
    <row r="60" spans="2:16">
      <c r="B60" s="4"/>
      <c r="C60" s="4" t="str">
        <f>"   Annual Rev. Req, w/"&amp;F17&amp;" Basis Point ROE increase, less Depreciation"</f>
        <v xml:space="preserve">   Annual Rev. Req, w/ Basis Point ROE increase, less Depreciation</v>
      </c>
      <c r="D60" s="67"/>
      <c r="E60" s="4"/>
      <c r="G60" s="396">
        <f>G58-G59</f>
        <v>473346066.09265673</v>
      </c>
      <c r="H60" s="395"/>
      <c r="I60" s="4"/>
      <c r="J60" s="4"/>
      <c r="K60" s="4"/>
      <c r="L60" s="4"/>
      <c r="M60" s="4"/>
      <c r="N60" s="4"/>
      <c r="O60" s="4"/>
      <c r="P60" s="4"/>
    </row>
    <row r="61" spans="2:16">
      <c r="B61" s="4"/>
      <c r="C61" s="4"/>
      <c r="D61" s="67"/>
      <c r="E61" s="4"/>
      <c r="F61" s="4"/>
      <c r="G61" s="4"/>
      <c r="H61" s="395"/>
      <c r="I61" s="4"/>
      <c r="J61" s="4"/>
      <c r="K61" s="4"/>
      <c r="L61" s="4"/>
      <c r="M61" s="4"/>
      <c r="N61" s="4"/>
      <c r="O61" s="4"/>
      <c r="P61" s="4"/>
    </row>
    <row r="62" spans="2:16" ht="15.75">
      <c r="B62" s="4"/>
      <c r="C62" s="356" t="str">
        <f>"C.   Determine FCR with hypothetical "&amp;F17&amp;" basis point ROE increase."</f>
        <v>C.   Determine FCR with hypothetical  basis point ROE increase.</v>
      </c>
      <c r="D62" s="67"/>
      <c r="E62" s="4"/>
      <c r="F62" s="4"/>
      <c r="G62" s="4"/>
      <c r="H62" s="395"/>
      <c r="I62" s="4"/>
      <c r="J62" s="4"/>
      <c r="K62" s="4"/>
      <c r="L62" s="4"/>
      <c r="M62" s="4"/>
      <c r="N62" s="4"/>
      <c r="O62" s="4"/>
      <c r="P62" s="4"/>
    </row>
    <row r="63" spans="2:16">
      <c r="B63" s="4"/>
      <c r="C63" s="4"/>
      <c r="D63" s="67"/>
      <c r="E63" s="4"/>
      <c r="F63" s="4"/>
      <c r="G63" s="4"/>
      <c r="H63" s="395"/>
      <c r="I63" s="4"/>
      <c r="J63" s="4"/>
      <c r="K63" s="4"/>
      <c r="L63" s="4"/>
      <c r="M63" s="4"/>
      <c r="N63" s="4"/>
      <c r="O63" s="4"/>
      <c r="P63" s="4"/>
    </row>
    <row r="64" spans="2:16">
      <c r="B64" s="4"/>
      <c r="C64" s="385" t="str">
        <f>"   Net Transmission Plant  (TCOS, ln "&amp;TCOS!B95&amp;")"</f>
        <v xml:space="preserve">   Net Transmission Plant  (TCOS, ln 42)</v>
      </c>
      <c r="D64" s="67"/>
      <c r="E64" s="4"/>
      <c r="G64" s="396">
        <f>TCOS!L95</f>
        <v>4229847016.2497869</v>
      </c>
      <c r="H64" s="406"/>
      <c r="I64" s="4"/>
      <c r="J64" s="4"/>
      <c r="K64" s="4"/>
      <c r="L64" s="4"/>
      <c r="M64" s="4"/>
      <c r="N64" s="4"/>
      <c r="O64" s="4"/>
      <c r="P64" s="4"/>
    </row>
    <row r="65" spans="2:16">
      <c r="B65" s="4"/>
      <c r="C65" s="4" t="str">
        <f>"   Annual Revenue Requirement, with "&amp;F17&amp;" Basis Point ROE increase"</f>
        <v xml:space="preserve">   Annual Revenue Requirement, with  Basis Point ROE increase</v>
      </c>
      <c r="D65" s="67"/>
      <c r="E65" s="4"/>
      <c r="G65" s="396">
        <f>G58</f>
        <v>609212609.686764</v>
      </c>
      <c r="H65" s="395"/>
      <c r="I65" s="4"/>
      <c r="J65" s="4"/>
      <c r="K65" s="4"/>
      <c r="L65" s="4"/>
      <c r="M65" s="4"/>
      <c r="N65" s="4"/>
      <c r="O65" s="4"/>
      <c r="P65" s="4"/>
    </row>
    <row r="66" spans="2:16">
      <c r="B66" s="4"/>
      <c r="C66" s="4" t="str">
        <f>"   FCR with "&amp;F17&amp;" Basis Point increase in ROE"</f>
        <v xml:space="preserve">   FCR with  Basis Point increase in ROE</v>
      </c>
      <c r="D66" s="67"/>
      <c r="E66" s="4"/>
      <c r="G66" s="394">
        <f>G65/G64</f>
        <v>0.14402710248062264</v>
      </c>
      <c r="H66" s="395"/>
      <c r="I66" s="4"/>
      <c r="J66" s="4"/>
      <c r="K66" s="4"/>
      <c r="L66" s="4"/>
      <c r="M66" s="4"/>
      <c r="N66" s="4"/>
      <c r="O66" s="4"/>
      <c r="P66" s="4"/>
    </row>
    <row r="67" spans="2:16">
      <c r="B67" s="4"/>
      <c r="C67" s="155"/>
      <c r="D67" s="67"/>
      <c r="E67" s="4"/>
      <c r="G67" s="4"/>
      <c r="H67" s="395"/>
      <c r="I67" s="4"/>
      <c r="J67" s="4"/>
      <c r="K67" s="4"/>
      <c r="L67" s="4"/>
      <c r="M67" s="4"/>
      <c r="N67" s="4"/>
      <c r="O67" s="4"/>
      <c r="P67" s="4"/>
    </row>
    <row r="68" spans="2:16">
      <c r="B68" s="4"/>
      <c r="C68" s="4" t="str">
        <f>"   Annual Rev. Req, w / "&amp;F17&amp;" Basis Point ROE increase, less Dep."</f>
        <v xml:space="preserve">   Annual Rev. Req, w /  Basis Point ROE increase, less Dep.</v>
      </c>
      <c r="D68" s="67"/>
      <c r="E68" s="4"/>
      <c r="G68" s="396">
        <f>G60</f>
        <v>473346066.09265673</v>
      </c>
      <c r="H68" s="395"/>
      <c r="I68" s="4"/>
      <c r="J68" s="4"/>
      <c r="K68" s="4"/>
      <c r="L68" s="4"/>
      <c r="M68" s="4"/>
      <c r="N68" s="4"/>
      <c r="O68" s="4"/>
      <c r="P68" s="4"/>
    </row>
    <row r="69" spans="2:16">
      <c r="B69" s="4"/>
      <c r="C69" s="4" t="str">
        <f>"   FCR with "&amp;F17&amp;" Basis Point ROE increase, less Depreciation"</f>
        <v xml:space="preserve">   FCR with  Basis Point ROE increase, less Depreciation</v>
      </c>
      <c r="D69" s="67"/>
      <c r="E69" s="4"/>
      <c r="G69" s="394">
        <f>G68/G64</f>
        <v>0.1119061905251431</v>
      </c>
      <c r="H69" s="395"/>
      <c r="I69" s="4"/>
      <c r="J69" s="4"/>
      <c r="K69" s="4"/>
      <c r="L69" s="4"/>
      <c r="M69" s="4"/>
      <c r="N69" s="4"/>
      <c r="O69" s="4"/>
      <c r="P69" s="4"/>
    </row>
    <row r="70" spans="2:16">
      <c r="B70" s="4"/>
      <c r="C70" s="385" t="str">
        <f>"   FCR less Depreciation  (TCOS, ln "&amp;TCOS!B34&amp;")"</f>
        <v xml:space="preserve">   FCR less Depreciation  (TCOS, ln 10)</v>
      </c>
      <c r="D70" s="67"/>
      <c r="E70" s="4"/>
      <c r="G70" s="407">
        <f>TCOS!L34</f>
        <v>0.1119061905251431</v>
      </c>
      <c r="H70" s="395"/>
      <c r="I70" s="4"/>
      <c r="J70" s="4"/>
      <c r="K70" s="4"/>
      <c r="L70" s="4"/>
      <c r="M70" s="4"/>
      <c r="N70" s="4"/>
      <c r="O70" s="4"/>
      <c r="P70" s="4"/>
    </row>
    <row r="71" spans="2:16">
      <c r="B71" s="4"/>
      <c r="C71" s="4" t="str">
        <f>"   Incremental FCR with "&amp;F17&amp;" Basis Point ROE increase, less Depreciation"</f>
        <v xml:space="preserve">   Incremental FCR with  Basis Point ROE increase, less Depreciation</v>
      </c>
      <c r="D71" s="67"/>
      <c r="E71" s="4"/>
      <c r="G71" s="394">
        <f>G69-G70</f>
        <v>0</v>
      </c>
      <c r="H71" s="395"/>
      <c r="I71" s="4"/>
      <c r="J71" s="4"/>
      <c r="K71" s="4"/>
      <c r="L71" s="4"/>
      <c r="M71" s="4"/>
      <c r="N71" s="4"/>
      <c r="O71" s="4"/>
      <c r="P71" s="4"/>
    </row>
    <row r="72" spans="2:16">
      <c r="B72" s="4"/>
      <c r="C72" s="4"/>
      <c r="D72" s="67"/>
      <c r="E72" s="4"/>
      <c r="F72" s="394"/>
      <c r="G72" s="4"/>
      <c r="H72" s="395"/>
      <c r="I72" s="4"/>
      <c r="J72" s="4"/>
      <c r="K72" s="4"/>
      <c r="L72" s="4"/>
      <c r="M72" s="4"/>
      <c r="N72" s="4"/>
      <c r="O72" s="4"/>
      <c r="P72" s="4"/>
    </row>
    <row r="73" spans="2:16" ht="18.75">
      <c r="B73" s="355" t="s">
        <v>173</v>
      </c>
      <c r="C73" s="11" t="s">
        <v>267</v>
      </c>
      <c r="D73" s="67"/>
      <c r="E73" s="4"/>
      <c r="F73" s="394"/>
      <c r="G73" s="4"/>
      <c r="H73" s="395"/>
      <c r="I73" s="4"/>
      <c r="J73" s="4"/>
      <c r="K73" s="4"/>
      <c r="L73" s="4"/>
      <c r="M73" s="4"/>
      <c r="N73" s="4"/>
      <c r="O73" s="4"/>
      <c r="P73" s="4"/>
    </row>
    <row r="74" spans="2:16">
      <c r="B74" s="4"/>
      <c r="C74" s="4"/>
      <c r="D74" s="67"/>
      <c r="E74" s="4"/>
      <c r="F74" s="394"/>
      <c r="G74" s="4"/>
      <c r="H74" s="395"/>
      <c r="I74" s="4"/>
      <c r="J74" s="4"/>
      <c r="K74" s="4"/>
      <c r="L74" s="4"/>
      <c r="M74" s="4"/>
      <c r="N74" s="4"/>
      <c r="O74" s="4"/>
      <c r="P74" s="4"/>
    </row>
    <row r="75" spans="2:16">
      <c r="B75" s="4"/>
      <c r="C75" s="4" t="str">
        <f>+"Average Transmission Plant Balance for "&amp;TCOS!L4&amp;" (TCOS, ln "&amp;TCOS!B68&amp;")"</f>
        <v>Average Transmission Plant Balance for 2026 (TCOS, ln 21)</v>
      </c>
      <c r="D75" s="67"/>
      <c r="G75" s="395">
        <f>TCOS!L68</f>
        <v>5292517858.319747</v>
      </c>
      <c r="H75" s="351"/>
      <c r="I75" s="4"/>
      <c r="J75" s="4"/>
      <c r="K75" s="410"/>
      <c r="L75" s="4"/>
      <c r="M75" s="4"/>
      <c r="N75" s="4"/>
      <c r="O75" s="4"/>
      <c r="P75" s="4"/>
    </row>
    <row r="76" spans="2:16">
      <c r="B76" s="4"/>
      <c r="C76" s="408" t="str">
        <f>"Annual Depreciation and Amortization Expense  (TCOS, ln "&amp;TCOS!B181&amp;")"</f>
        <v>Annual Depreciation and Amortization Expense  (TCOS, ln 100)</v>
      </c>
      <c r="D76" s="67"/>
      <c r="E76" s="4"/>
      <c r="G76" s="409">
        <f>TCOS!L181</f>
        <v>135866543.5941073</v>
      </c>
      <c r="H76" s="395"/>
      <c r="I76" s="4"/>
      <c r="J76" s="4"/>
      <c r="K76" s="4"/>
      <c r="L76" s="4"/>
      <c r="M76" s="4"/>
      <c r="N76" s="4"/>
      <c r="O76" s="4"/>
      <c r="P76" s="4"/>
    </row>
    <row r="77" spans="2:16">
      <c r="B77" s="4"/>
      <c r="C77" s="4" t="s">
        <v>268</v>
      </c>
      <c r="D77" s="67"/>
      <c r="E77" s="4"/>
      <c r="G77" s="394">
        <f>+G76/G75</f>
        <v>2.5671437911263244E-2</v>
      </c>
      <c r="H77" s="411"/>
      <c r="I77" s="4"/>
      <c r="J77" s="4"/>
      <c r="K77" s="4"/>
      <c r="L77" s="4"/>
      <c r="M77" s="4"/>
      <c r="N77" s="4"/>
      <c r="O77" s="4"/>
      <c r="P77" s="4"/>
    </row>
    <row r="78" spans="2:16">
      <c r="B78" s="4"/>
      <c r="C78" s="4" t="s">
        <v>269</v>
      </c>
      <c r="D78" s="67"/>
      <c r="E78" s="4"/>
      <c r="G78" s="411">
        <f>1/G77</f>
        <v>38.953797736481832</v>
      </c>
      <c r="H78" s="395"/>
      <c r="I78" s="4"/>
      <c r="J78" s="4"/>
      <c r="K78" s="4"/>
      <c r="L78" s="4"/>
      <c r="M78" s="4"/>
      <c r="N78" s="4"/>
      <c r="O78" s="4"/>
      <c r="P78" s="4"/>
    </row>
    <row r="79" spans="2:16">
      <c r="B79" s="4"/>
      <c r="C79" s="4" t="s">
        <v>270</v>
      </c>
      <c r="D79" s="67"/>
      <c r="E79" s="4"/>
      <c r="G79" s="412">
        <f>ROUND(G78,0)</f>
        <v>39</v>
      </c>
      <c r="H79" s="395"/>
      <c r="I79" s="4"/>
      <c r="J79" s="4"/>
      <c r="K79" s="4"/>
      <c r="L79" s="4"/>
      <c r="M79" s="4"/>
      <c r="N79" s="4"/>
      <c r="O79" s="4"/>
      <c r="P79" s="4"/>
    </row>
    <row r="80" spans="2:16">
      <c r="B80" s="4"/>
      <c r="C80" s="4"/>
      <c r="D80" s="67"/>
      <c r="E80" s="4"/>
      <c r="G80" s="412"/>
      <c r="H80" s="395"/>
      <c r="I80" s="4"/>
      <c r="J80" s="4"/>
      <c r="K80" s="4"/>
      <c r="L80" s="4"/>
      <c r="M80" s="4"/>
      <c r="N80" s="4"/>
      <c r="O80" s="4"/>
      <c r="P80" s="4"/>
    </row>
    <row r="81" spans="1:16">
      <c r="D81" s="1"/>
      <c r="H81" s="351"/>
      <c r="P81" s="4"/>
    </row>
    <row r="82" spans="1:16">
      <c r="D82" s="1"/>
      <c r="H82" s="351"/>
      <c r="P82" s="4"/>
    </row>
    <row r="83" spans="1:16" ht="20.25">
      <c r="A83" s="352" t="s">
        <v>929</v>
      </c>
      <c r="B83" s="4"/>
      <c r="C83" s="4"/>
      <c r="D83" s="67"/>
      <c r="E83" s="4"/>
      <c r="F83" s="394"/>
      <c r="G83" s="4"/>
      <c r="H83" s="831"/>
      <c r="K83" s="353"/>
      <c r="L83" s="353"/>
      <c r="M83" s="353"/>
      <c r="N83" s="353" t="str">
        <f>"Page "&amp;SUM(P$6:P83)&amp;" of "</f>
        <v xml:space="preserve">Page 2 of </v>
      </c>
      <c r="O83" s="354">
        <f>COUNT(P$6:P$59606)</f>
        <v>18</v>
      </c>
      <c r="P83" s="408">
        <v>1</v>
      </c>
    </row>
    <row r="84" spans="1:16">
      <c r="B84" s="4"/>
      <c r="C84" s="4"/>
      <c r="D84" s="67"/>
      <c r="E84" s="4"/>
      <c r="F84" s="4"/>
      <c r="G84" s="4"/>
      <c r="H84" s="831"/>
      <c r="I84" s="4"/>
      <c r="J84" s="4"/>
      <c r="K84" s="4"/>
      <c r="L84" s="4"/>
      <c r="M84" s="4"/>
      <c r="N84" s="4"/>
      <c r="O84" s="4"/>
      <c r="P84" s="4"/>
    </row>
    <row r="85" spans="1:16" ht="18">
      <c r="B85" s="355" t="s">
        <v>174</v>
      </c>
      <c r="C85" s="415" t="s">
        <v>290</v>
      </c>
      <c r="D85" s="67"/>
      <c r="E85" s="4"/>
      <c r="F85" s="4"/>
      <c r="G85" s="4"/>
      <c r="H85" s="831"/>
      <c r="I85" s="831"/>
      <c r="J85" s="832"/>
      <c r="K85" s="831"/>
      <c r="L85" s="831"/>
      <c r="M85" s="831"/>
      <c r="N85" s="831"/>
      <c r="O85" s="4"/>
      <c r="P85" s="832"/>
    </row>
    <row r="86" spans="1:16" ht="18.75">
      <c r="B86" s="355"/>
      <c r="C86" s="11"/>
      <c r="D86" s="67"/>
      <c r="E86" s="4"/>
      <c r="F86" s="4"/>
      <c r="G86" s="4"/>
      <c r="H86" s="831"/>
      <c r="I86" s="831"/>
      <c r="J86" s="832"/>
      <c r="K86" s="831"/>
      <c r="L86" s="831"/>
      <c r="M86" s="831"/>
      <c r="N86" s="831"/>
      <c r="O86" s="4"/>
      <c r="P86" s="832"/>
    </row>
    <row r="87" spans="1:16" ht="18.75">
      <c r="B87" s="355"/>
      <c r="C87" s="11" t="s">
        <v>291</v>
      </c>
      <c r="D87" s="67"/>
      <c r="E87" s="4"/>
      <c r="F87" s="4"/>
      <c r="G87" s="4"/>
      <c r="H87" s="831"/>
      <c r="I87" s="831"/>
      <c r="J87" s="832"/>
      <c r="K87" s="831"/>
      <c r="L87" s="831"/>
      <c r="M87" s="831"/>
      <c r="N87" s="831"/>
      <c r="O87" s="4"/>
      <c r="P87" s="832"/>
    </row>
    <row r="88" spans="1:16" ht="15.75" thickBot="1">
      <c r="C88" s="203"/>
      <c r="D88" s="67"/>
      <c r="E88" s="4"/>
      <c r="F88" s="4"/>
      <c r="G88" s="4"/>
      <c r="H88" s="831"/>
      <c r="I88" s="831"/>
      <c r="J88" s="832"/>
      <c r="K88" s="831"/>
      <c r="L88" s="831"/>
      <c r="M88" s="831"/>
      <c r="N88" s="831"/>
      <c r="O88" s="4"/>
      <c r="P88" s="832"/>
    </row>
    <row r="89" spans="1:16" ht="15.75">
      <c r="C89" s="356" t="s">
        <v>292</v>
      </c>
      <c r="D89" s="67"/>
      <c r="E89" s="4"/>
      <c r="F89" s="4"/>
      <c r="G89" s="833"/>
      <c r="H89" s="4" t="s">
        <v>271</v>
      </c>
      <c r="I89" s="4"/>
      <c r="J89" s="4"/>
      <c r="K89" s="416" t="s">
        <v>296</v>
      </c>
      <c r="L89" s="417"/>
      <c r="M89" s="418"/>
      <c r="N89" s="834">
        <f>VLOOKUP(I95,C102:O161,5)</f>
        <v>1184473.6765338962</v>
      </c>
      <c r="O89" s="4"/>
      <c r="P89" s="4"/>
    </row>
    <row r="90" spans="1:16" ht="15.75">
      <c r="C90" s="356"/>
      <c r="D90" s="67"/>
      <c r="E90" s="4"/>
      <c r="F90" s="4"/>
      <c r="G90" s="4"/>
      <c r="H90" s="835"/>
      <c r="I90" s="835"/>
      <c r="J90" s="836"/>
      <c r="K90" s="421" t="s">
        <v>297</v>
      </c>
      <c r="L90" s="837"/>
      <c r="M90" s="4"/>
      <c r="N90" s="838">
        <f>VLOOKUP(I95,C102:O161,6)</f>
        <v>1184473.6765338962</v>
      </c>
      <c r="O90" s="4"/>
      <c r="P90" s="836"/>
    </row>
    <row r="91" spans="1:16" ht="13.5" thickBot="1">
      <c r="C91" s="422" t="s">
        <v>293</v>
      </c>
      <c r="D91" s="1277" t="s">
        <v>930</v>
      </c>
      <c r="E91" s="1277"/>
      <c r="F91" s="1277"/>
      <c r="G91" s="1277"/>
      <c r="H91" s="831"/>
      <c r="I91" s="831"/>
      <c r="J91" s="832"/>
      <c r="K91" s="839" t="s">
        <v>450</v>
      </c>
      <c r="L91" s="840"/>
      <c r="M91" s="840"/>
      <c r="N91" s="841">
        <f>+N90-N89</f>
        <v>0</v>
      </c>
      <c r="O91" s="4"/>
      <c r="P91" s="832"/>
    </row>
    <row r="92" spans="1:16">
      <c r="C92" s="424"/>
      <c r="D92" s="425"/>
      <c r="E92" s="412"/>
      <c r="F92" s="412"/>
      <c r="G92" s="426"/>
      <c r="H92" s="831"/>
      <c r="I92" s="831"/>
      <c r="J92" s="832"/>
      <c r="K92" s="831"/>
      <c r="L92" s="831"/>
      <c r="M92" s="831"/>
      <c r="N92" s="831"/>
      <c r="O92" s="4"/>
      <c r="P92" s="832"/>
    </row>
    <row r="93" spans="1:16" ht="13.5" thickBot="1">
      <c r="C93" s="424"/>
      <c r="D93" s="4"/>
      <c r="E93" s="426"/>
      <c r="F93" s="426"/>
      <c r="G93" s="426"/>
      <c r="H93" s="426"/>
      <c r="I93" s="426"/>
      <c r="J93" s="426"/>
      <c r="K93" s="426"/>
      <c r="L93" s="426"/>
      <c r="M93" s="426"/>
      <c r="N93" s="426"/>
      <c r="O93" s="4"/>
      <c r="P93" s="426"/>
    </row>
    <row r="94" spans="1:16" ht="13.5" thickBot="1">
      <c r="B94" s="194"/>
      <c r="C94" s="427" t="s">
        <v>294</v>
      </c>
      <c r="D94" s="428"/>
      <c r="E94" s="428"/>
      <c r="F94" s="428"/>
      <c r="G94" s="428"/>
      <c r="H94" s="428"/>
      <c r="I94" s="429"/>
      <c r="K94" s="4"/>
      <c r="L94" s="4"/>
      <c r="M94" s="4"/>
      <c r="N94" s="4"/>
      <c r="O94" s="4"/>
      <c r="P94" s="4"/>
    </row>
    <row r="95" spans="1:16" ht="15">
      <c r="B95" s="194"/>
      <c r="C95" s="430" t="s">
        <v>272</v>
      </c>
      <c r="D95" s="842">
        <v>13789271.550000001</v>
      </c>
      <c r="E95" s="4" t="s">
        <v>273</v>
      </c>
      <c r="G95" s="67"/>
      <c r="H95" s="67"/>
      <c r="I95" s="431">
        <f>$L$26</f>
        <v>2026</v>
      </c>
      <c r="J95" s="114"/>
      <c r="K95" s="1278" t="s">
        <v>459</v>
      </c>
      <c r="L95" s="1278"/>
      <c r="M95" s="1278"/>
      <c r="N95" s="1278"/>
      <c r="O95" s="1278"/>
      <c r="P95" s="114"/>
    </row>
    <row r="96" spans="1:16">
      <c r="B96" s="194"/>
      <c r="C96" s="430" t="s">
        <v>275</v>
      </c>
      <c r="D96" s="561">
        <v>2008</v>
      </c>
      <c r="E96" s="430" t="s">
        <v>276</v>
      </c>
      <c r="F96" s="67"/>
      <c r="I96" s="564">
        <f>IF(G89="",0,$F$15)</f>
        <v>0</v>
      </c>
      <c r="J96" s="432"/>
      <c r="K96" s="832" t="s">
        <v>459</v>
      </c>
      <c r="P96" s="432"/>
    </row>
    <row r="97" spans="1:16">
      <c r="B97" s="194"/>
      <c r="C97" s="430" t="s">
        <v>277</v>
      </c>
      <c r="D97" s="843">
        <v>6</v>
      </c>
      <c r="E97" s="430" t="s">
        <v>278</v>
      </c>
      <c r="F97" s="67"/>
      <c r="I97" s="433">
        <f>$G$70</f>
        <v>0.1119061905251431</v>
      </c>
      <c r="J97" s="394"/>
      <c r="K97" t="str">
        <f>"          INPUT PROJECTED ARR (WITH &amp; WITHOUT INCENTIVES) FROM EACH PRIOR YEAR"</f>
        <v xml:space="preserve">          INPUT PROJECTED ARR (WITH &amp; WITHOUT INCENTIVES) FROM EACH PRIOR YEAR</v>
      </c>
      <c r="P97" s="394"/>
    </row>
    <row r="98" spans="1:16">
      <c r="B98" s="194"/>
      <c r="C98" s="430" t="s">
        <v>279</v>
      </c>
      <c r="D98" s="434">
        <f>G$79</f>
        <v>39</v>
      </c>
      <c r="E98" s="430" t="s">
        <v>280</v>
      </c>
      <c r="F98" s="67"/>
      <c r="I98" s="433">
        <f>IF(G89="",I97,$G$67)</f>
        <v>0.1119061905251431</v>
      </c>
      <c r="J98" s="394"/>
      <c r="K98" t="s">
        <v>357</v>
      </c>
      <c r="P98" s="394"/>
    </row>
    <row r="99" spans="1:16" ht="13.5" thickBot="1">
      <c r="B99" s="194"/>
      <c r="C99" s="430" t="s">
        <v>281</v>
      </c>
      <c r="D99" s="563" t="s">
        <v>931</v>
      </c>
      <c r="E99" s="435" t="s">
        <v>282</v>
      </c>
      <c r="F99" s="436"/>
      <c r="G99" s="437"/>
      <c r="H99" s="437"/>
      <c r="I99" s="841">
        <f>IF(D95=0,0,D95/D98)</f>
        <v>353571.06538461539</v>
      </c>
      <c r="J99" s="832"/>
      <c r="K99" s="832" t="s">
        <v>363</v>
      </c>
      <c r="L99" s="832"/>
      <c r="M99" s="832"/>
      <c r="N99" s="832"/>
      <c r="O99" s="4"/>
      <c r="P99" s="832"/>
    </row>
    <row r="100" spans="1:16" ht="51">
      <c r="A100" s="322"/>
      <c r="B100" s="322"/>
      <c r="C100" s="438" t="s">
        <v>272</v>
      </c>
      <c r="D100" s="844" t="s">
        <v>283</v>
      </c>
      <c r="E100" s="845" t="s">
        <v>284</v>
      </c>
      <c r="F100" s="844" t="s">
        <v>285</v>
      </c>
      <c r="G100" s="845" t="s">
        <v>356</v>
      </c>
      <c r="H100" s="846" t="s">
        <v>356</v>
      </c>
      <c r="I100" s="438" t="s">
        <v>295</v>
      </c>
      <c r="J100" s="442"/>
      <c r="K100" s="845" t="s">
        <v>365</v>
      </c>
      <c r="L100" s="847"/>
      <c r="M100" s="845" t="s">
        <v>365</v>
      </c>
      <c r="N100" s="847"/>
      <c r="O100" s="847"/>
      <c r="P100" s="443"/>
    </row>
    <row r="101" spans="1:16" ht="13.5" thickBot="1">
      <c r="C101" s="444" t="s">
        <v>177</v>
      </c>
      <c r="D101" s="445" t="s">
        <v>178</v>
      </c>
      <c r="E101" s="444" t="s">
        <v>37</v>
      </c>
      <c r="F101" s="445" t="s">
        <v>178</v>
      </c>
      <c r="G101" s="848" t="s">
        <v>298</v>
      </c>
      <c r="H101" s="849" t="s">
        <v>300</v>
      </c>
      <c r="I101" s="444" t="s">
        <v>389</v>
      </c>
      <c r="J101" s="448"/>
      <c r="K101" s="848" t="s">
        <v>287</v>
      </c>
      <c r="L101" s="850"/>
      <c r="M101" s="848" t="s">
        <v>300</v>
      </c>
      <c r="N101" s="850"/>
      <c r="O101" s="850"/>
      <c r="P101" s="114"/>
    </row>
    <row r="102" spans="1:16">
      <c r="C102" s="449">
        <f>IF(D96= "","-",D96)</f>
        <v>2008</v>
      </c>
      <c r="D102" s="412">
        <f>+D95</f>
        <v>13789271.550000001</v>
      </c>
      <c r="E102" s="851">
        <f>+I99/12*(12-D97)</f>
        <v>176785.53269230769</v>
      </c>
      <c r="F102" s="412">
        <f t="shared" ref="F102:F161" si="0">+D102-E102</f>
        <v>13612486.017307693</v>
      </c>
      <c r="G102" s="852">
        <f>+$I$97*((D102+F102)/2)+E102</f>
        <v>1709998.6842177659</v>
      </c>
      <c r="H102" s="853">
        <f>+$I$98*((D102+F102)/2)+E102</f>
        <v>1709998.6842177659</v>
      </c>
      <c r="I102" s="453">
        <f>+H102-G102</f>
        <v>0</v>
      </c>
      <c r="J102" s="453"/>
      <c r="K102" s="565"/>
      <c r="L102" s="455"/>
      <c r="M102" s="565"/>
      <c r="N102" s="455"/>
      <c r="O102" s="455"/>
      <c r="P102" s="414"/>
    </row>
    <row r="103" spans="1:16">
      <c r="C103" s="449">
        <f>IF(D96="","-",+C102+1)</f>
        <v>2009</v>
      </c>
      <c r="D103" s="412">
        <f t="shared" ref="D103:D161" si="1">F102</f>
        <v>13612486.017307693</v>
      </c>
      <c r="E103" s="456">
        <f>IF(D103&gt;$I$99,$I$99,D103)</f>
        <v>353571.06538461539</v>
      </c>
      <c r="F103" s="412">
        <f t="shared" si="0"/>
        <v>13258914.951923078</v>
      </c>
      <c r="G103" s="851">
        <f t="shared" ref="G103:G161" si="2">+$I$97*((D103+F103)/2)+E103</f>
        <v>1857109.1236547423</v>
      </c>
      <c r="H103" s="854">
        <f t="shared" ref="H103:H161" si="3">+$I$98*((D103+F103)/2)+E103</f>
        <v>1857109.1236547423</v>
      </c>
      <c r="I103" s="453">
        <f t="shared" ref="I103:I161" si="4">+H103-G103</f>
        <v>0</v>
      </c>
      <c r="J103" s="453"/>
      <c r="K103" s="566">
        <v>1124469.1016438</v>
      </c>
      <c r="L103" s="459"/>
      <c r="M103" s="566">
        <v>1124469.1016438</v>
      </c>
      <c r="N103" s="459"/>
      <c r="O103" s="459"/>
      <c r="P103" s="414"/>
    </row>
    <row r="104" spans="1:16">
      <c r="C104" s="449">
        <f>IF(D96="","-",+C103+1)</f>
        <v>2010</v>
      </c>
      <c r="D104" s="412">
        <f t="shared" si="1"/>
        <v>13258914.951923078</v>
      </c>
      <c r="E104" s="456">
        <f t="shared" ref="E104:E161" si="5">IF(D104&gt;$I$99,$I$99,D104)</f>
        <v>353571.06538461539</v>
      </c>
      <c r="F104" s="412">
        <f t="shared" si="0"/>
        <v>12905343.886538463</v>
      </c>
      <c r="G104" s="851">
        <f t="shared" si="2"/>
        <v>1817542.3326476337</v>
      </c>
      <c r="H104" s="854">
        <f t="shared" si="3"/>
        <v>1817542.3326476337</v>
      </c>
      <c r="I104" s="453">
        <f t="shared" si="4"/>
        <v>0</v>
      </c>
      <c r="J104" s="453"/>
      <c r="K104" s="566">
        <v>2027403</v>
      </c>
      <c r="L104" s="459"/>
      <c r="M104" s="566">
        <v>2027403</v>
      </c>
      <c r="N104" s="459"/>
      <c r="O104" s="459"/>
      <c r="P104" s="414"/>
    </row>
    <row r="105" spans="1:16">
      <c r="C105" s="449">
        <f>IF(D96="","-",+C104+1)</f>
        <v>2011</v>
      </c>
      <c r="D105" s="412">
        <f t="shared" si="1"/>
        <v>12905343.886538463</v>
      </c>
      <c r="E105" s="456">
        <f t="shared" si="5"/>
        <v>353571.06538461539</v>
      </c>
      <c r="F105" s="412">
        <f t="shared" si="0"/>
        <v>12551772.821153848</v>
      </c>
      <c r="G105" s="851">
        <f t="shared" si="2"/>
        <v>1777975.541640525</v>
      </c>
      <c r="H105" s="854">
        <f t="shared" si="3"/>
        <v>1777975.541640525</v>
      </c>
      <c r="I105" s="453">
        <f t="shared" si="4"/>
        <v>0</v>
      </c>
      <c r="J105" s="453"/>
      <c r="K105" s="566">
        <v>2050107</v>
      </c>
      <c r="L105" s="459"/>
      <c r="M105" s="566">
        <v>2050107</v>
      </c>
      <c r="N105" s="459"/>
      <c r="O105" s="459"/>
      <c r="P105" s="414"/>
    </row>
    <row r="106" spans="1:16">
      <c r="C106" s="449">
        <f>IF(D96="","-",+C105+1)</f>
        <v>2012</v>
      </c>
      <c r="D106" s="412">
        <f t="shared" si="1"/>
        <v>12551772.821153848</v>
      </c>
      <c r="E106" s="456">
        <f t="shared" si="5"/>
        <v>353571.06538461539</v>
      </c>
      <c r="F106" s="412">
        <f t="shared" si="0"/>
        <v>12198201.755769232</v>
      </c>
      <c r="G106" s="851">
        <f t="shared" si="2"/>
        <v>1738408.7506334165</v>
      </c>
      <c r="H106" s="854">
        <f t="shared" si="3"/>
        <v>1738408.7506334165</v>
      </c>
      <c r="I106" s="453">
        <f t="shared" si="4"/>
        <v>0</v>
      </c>
      <c r="J106" s="453"/>
      <c r="K106" s="566">
        <v>1906118.0340840491</v>
      </c>
      <c r="L106" s="459"/>
      <c r="M106" s="566">
        <v>1906118.0340840491</v>
      </c>
      <c r="N106" s="459"/>
      <c r="O106" s="459"/>
      <c r="P106" s="414"/>
    </row>
    <row r="107" spans="1:16">
      <c r="C107" s="449">
        <f>IF(D96="","-",+C106+1)</f>
        <v>2013</v>
      </c>
      <c r="D107" s="412">
        <f t="shared" si="1"/>
        <v>12198201.755769232</v>
      </c>
      <c r="E107" s="456">
        <f t="shared" si="5"/>
        <v>353571.06538461539</v>
      </c>
      <c r="F107" s="412">
        <f t="shared" si="0"/>
        <v>11844630.690384617</v>
      </c>
      <c r="G107" s="851">
        <f t="shared" si="2"/>
        <v>1698841.9596263079</v>
      </c>
      <c r="H107" s="854">
        <f t="shared" si="3"/>
        <v>1698841.9596263079</v>
      </c>
      <c r="I107" s="453">
        <f t="shared" si="4"/>
        <v>0</v>
      </c>
      <c r="J107" s="453"/>
      <c r="K107" s="566">
        <v>1915150</v>
      </c>
      <c r="L107" s="459"/>
      <c r="M107" s="566">
        <v>1915150</v>
      </c>
      <c r="N107" s="459"/>
      <c r="O107" s="459"/>
      <c r="P107" s="414"/>
    </row>
    <row r="108" spans="1:16">
      <c r="C108" s="449">
        <f>IF(D96="","-",+C107+1)</f>
        <v>2014</v>
      </c>
      <c r="D108" s="412">
        <f>F107</f>
        <v>11844630.690384617</v>
      </c>
      <c r="E108" s="456">
        <f t="shared" si="5"/>
        <v>353571.06538461539</v>
      </c>
      <c r="F108" s="412">
        <f t="shared" si="0"/>
        <v>11491059.625000002</v>
      </c>
      <c r="G108" s="851">
        <f t="shared" si="2"/>
        <v>1659275.1686191994</v>
      </c>
      <c r="H108" s="854">
        <f t="shared" si="3"/>
        <v>1659275.1686191994</v>
      </c>
      <c r="I108" s="453">
        <f t="shared" si="4"/>
        <v>0</v>
      </c>
      <c r="J108" s="453"/>
      <c r="K108" s="566">
        <v>1778172</v>
      </c>
      <c r="L108" s="459"/>
      <c r="M108" s="566">
        <v>1778172</v>
      </c>
      <c r="N108" s="459"/>
      <c r="O108" s="459"/>
      <c r="P108" s="414"/>
    </row>
    <row r="109" spans="1:16">
      <c r="C109" s="449">
        <f>IF(D96="","-",+C108+1)</f>
        <v>2015</v>
      </c>
      <c r="D109" s="412">
        <f t="shared" si="1"/>
        <v>11491059.625000002</v>
      </c>
      <c r="E109" s="456">
        <f t="shared" si="5"/>
        <v>353571.06538461539</v>
      </c>
      <c r="F109" s="412">
        <f t="shared" si="0"/>
        <v>11137488.559615387</v>
      </c>
      <c r="G109" s="851">
        <f t="shared" si="2"/>
        <v>1619708.3776120907</v>
      </c>
      <c r="H109" s="854">
        <f t="shared" si="3"/>
        <v>1619708.3776120907</v>
      </c>
      <c r="I109" s="453">
        <f t="shared" si="4"/>
        <v>0</v>
      </c>
      <c r="J109" s="453"/>
      <c r="K109" s="566">
        <v>1790894</v>
      </c>
      <c r="L109" s="459"/>
      <c r="M109" s="566">
        <v>1790894</v>
      </c>
      <c r="N109" s="459"/>
      <c r="O109" s="459"/>
      <c r="P109" s="414"/>
    </row>
    <row r="110" spans="1:16">
      <c r="C110" s="449">
        <f>IF(D96="","-",+C109+1)</f>
        <v>2016</v>
      </c>
      <c r="D110" s="412">
        <f t="shared" si="1"/>
        <v>11137488.559615387</v>
      </c>
      <c r="E110" s="456">
        <f t="shared" si="5"/>
        <v>353571.06538461539</v>
      </c>
      <c r="F110" s="412">
        <f t="shared" si="0"/>
        <v>10783917.494230771</v>
      </c>
      <c r="G110" s="851">
        <f t="shared" si="2"/>
        <v>1580141.5866049821</v>
      </c>
      <c r="H110" s="854">
        <f t="shared" si="3"/>
        <v>1580141.5866049821</v>
      </c>
      <c r="I110" s="453">
        <f t="shared" si="4"/>
        <v>0</v>
      </c>
      <c r="J110" s="453"/>
      <c r="K110" s="566">
        <v>1719834</v>
      </c>
      <c r="L110" s="459"/>
      <c r="M110" s="566">
        <v>1719834</v>
      </c>
      <c r="N110" s="459"/>
      <c r="O110" s="459"/>
      <c r="P110" s="414"/>
    </row>
    <row r="111" spans="1:16">
      <c r="C111" s="449">
        <f>IF(D96="","-",+C110+1)</f>
        <v>2017</v>
      </c>
      <c r="D111" s="412">
        <f t="shared" si="1"/>
        <v>10783917.494230771</v>
      </c>
      <c r="E111" s="456">
        <f t="shared" si="5"/>
        <v>353571.06538461539</v>
      </c>
      <c r="F111" s="412">
        <f t="shared" si="0"/>
        <v>10430346.428846156</v>
      </c>
      <c r="G111" s="851">
        <f t="shared" si="2"/>
        <v>1540574.7955978736</v>
      </c>
      <c r="H111" s="854">
        <f t="shared" si="3"/>
        <v>1540574.7955978736</v>
      </c>
      <c r="I111" s="453">
        <f t="shared" si="4"/>
        <v>0</v>
      </c>
      <c r="J111" s="453"/>
      <c r="K111" s="566">
        <v>1790894</v>
      </c>
      <c r="L111" s="459"/>
      <c r="M111" s="566">
        <v>1790894</v>
      </c>
      <c r="N111" s="459"/>
      <c r="O111" s="459"/>
      <c r="P111" s="414"/>
    </row>
    <row r="112" spans="1:16">
      <c r="C112" s="878">
        <f>IF(D96="","-",+C111+1)</f>
        <v>2018</v>
      </c>
      <c r="D112" s="856">
        <f t="shared" si="1"/>
        <v>10430346.428846156</v>
      </c>
      <c r="E112" s="857">
        <f t="shared" si="5"/>
        <v>353571.06538461539</v>
      </c>
      <c r="F112" s="856">
        <f t="shared" si="0"/>
        <v>10076775.363461541</v>
      </c>
      <c r="G112" s="858">
        <f t="shared" si="2"/>
        <v>1501008.0045907651</v>
      </c>
      <c r="H112" s="859">
        <f t="shared" si="3"/>
        <v>1501008.0045907651</v>
      </c>
      <c r="I112" s="453">
        <f t="shared" si="4"/>
        <v>0</v>
      </c>
      <c r="J112" s="453"/>
      <c r="K112" s="566">
        <v>1501804</v>
      </c>
      <c r="L112" s="459"/>
      <c r="M112" s="566">
        <v>1501804</v>
      </c>
      <c r="N112" s="459"/>
      <c r="O112" s="459"/>
      <c r="P112" s="414"/>
    </row>
    <row r="113" spans="3:16">
      <c r="C113" s="449">
        <f>IF(D104="","-",+C112+1)</f>
        <v>2019</v>
      </c>
      <c r="D113" s="412">
        <f t="shared" si="1"/>
        <v>10076775.363461541</v>
      </c>
      <c r="E113" s="456">
        <f t="shared" si="5"/>
        <v>353571.06538461539</v>
      </c>
      <c r="F113" s="412">
        <f t="shared" si="0"/>
        <v>9723204.2980769258</v>
      </c>
      <c r="G113" s="851">
        <f t="shared" si="2"/>
        <v>1461441.2135836564</v>
      </c>
      <c r="H113" s="854">
        <f t="shared" si="3"/>
        <v>1461441.2135836564</v>
      </c>
      <c r="I113" s="453">
        <f t="shared" si="4"/>
        <v>0</v>
      </c>
      <c r="J113" s="453"/>
      <c r="K113" s="566">
        <v>1444940</v>
      </c>
      <c r="L113" s="459"/>
      <c r="M113" s="566">
        <v>1444940</v>
      </c>
      <c r="N113" s="459"/>
      <c r="O113" s="459"/>
      <c r="P113" s="414"/>
    </row>
    <row r="114" spans="3:16">
      <c r="C114" s="449">
        <f>IF(D104="","-",+C113+1)</f>
        <v>2020</v>
      </c>
      <c r="D114" s="412">
        <f t="shared" si="1"/>
        <v>9723204.2980769258</v>
      </c>
      <c r="E114" s="456">
        <f t="shared" si="5"/>
        <v>353571.06538461539</v>
      </c>
      <c r="F114" s="412">
        <f t="shared" si="0"/>
        <v>9369633.2326923106</v>
      </c>
      <c r="G114" s="851">
        <f t="shared" si="2"/>
        <v>1421874.4225765478</v>
      </c>
      <c r="H114" s="854">
        <f t="shared" si="3"/>
        <v>1421874.4225765478</v>
      </c>
      <c r="I114" s="453">
        <f t="shared" si="4"/>
        <v>0</v>
      </c>
      <c r="J114" s="453"/>
      <c r="K114" s="566">
        <v>1375796.0682175215</v>
      </c>
      <c r="L114" s="459"/>
      <c r="M114" s="566">
        <v>1375796.0682175215</v>
      </c>
      <c r="N114" s="460"/>
      <c r="O114" s="459"/>
      <c r="P114" s="414"/>
    </row>
    <row r="115" spans="3:16">
      <c r="C115" s="449">
        <f>IF(D96="","-",+C114+1)</f>
        <v>2021</v>
      </c>
      <c r="D115" s="412">
        <f t="shared" si="1"/>
        <v>9369633.2326923106</v>
      </c>
      <c r="E115" s="456">
        <f t="shared" si="5"/>
        <v>353571.06538461539</v>
      </c>
      <c r="F115" s="412">
        <f t="shared" si="0"/>
        <v>9016062.1673076954</v>
      </c>
      <c r="G115" s="851">
        <f t="shared" si="2"/>
        <v>1382307.6315694393</v>
      </c>
      <c r="H115" s="854">
        <f t="shared" si="3"/>
        <v>1382307.6315694393</v>
      </c>
      <c r="I115" s="453">
        <f t="shared" si="4"/>
        <v>0</v>
      </c>
      <c r="J115" s="453"/>
      <c r="K115" s="566">
        <v>1322365.9490553392</v>
      </c>
      <c r="L115" s="459"/>
      <c r="M115" s="566">
        <v>1322365.9490553392</v>
      </c>
      <c r="N115" s="459"/>
      <c r="O115" s="459"/>
      <c r="P115" s="414"/>
    </row>
    <row r="116" spans="3:16">
      <c r="C116" s="449">
        <f>IF(D107="","-",+C115+1)</f>
        <v>2022</v>
      </c>
      <c r="D116" s="412">
        <f t="shared" si="1"/>
        <v>9016062.1673076954</v>
      </c>
      <c r="E116" s="456">
        <f t="shared" si="5"/>
        <v>353571.06538461539</v>
      </c>
      <c r="F116" s="412">
        <f t="shared" si="0"/>
        <v>8662491.1019230802</v>
      </c>
      <c r="G116" s="851">
        <f t="shared" si="2"/>
        <v>1342740.8405623306</v>
      </c>
      <c r="H116" s="854">
        <f t="shared" si="3"/>
        <v>1342740.8405623306</v>
      </c>
      <c r="I116" s="453">
        <f t="shared" si="4"/>
        <v>0</v>
      </c>
      <c r="J116" s="453"/>
      <c r="K116" s="566">
        <v>1296228.708087994</v>
      </c>
      <c r="L116" s="459"/>
      <c r="M116" s="566">
        <v>1296228.708087994</v>
      </c>
      <c r="N116" s="459"/>
      <c r="O116" s="459"/>
      <c r="P116" s="414"/>
    </row>
    <row r="117" spans="3:16">
      <c r="C117" s="449">
        <f>IF(D107="","-",+C116+1)</f>
        <v>2023</v>
      </c>
      <c r="D117" s="412">
        <f t="shared" si="1"/>
        <v>8662491.1019230802</v>
      </c>
      <c r="E117" s="456">
        <f t="shared" si="5"/>
        <v>353571.06538461539</v>
      </c>
      <c r="F117" s="412">
        <f t="shared" si="0"/>
        <v>8308920.0365384649</v>
      </c>
      <c r="G117" s="851">
        <f t="shared" si="2"/>
        <v>1303174.049555222</v>
      </c>
      <c r="H117" s="854">
        <f t="shared" si="3"/>
        <v>1303174.049555222</v>
      </c>
      <c r="I117" s="453">
        <f t="shared" si="4"/>
        <v>0</v>
      </c>
      <c r="J117" s="453"/>
      <c r="K117" s="566">
        <v>1305900.1736671303</v>
      </c>
      <c r="L117" s="459"/>
      <c r="M117" s="566">
        <v>1305900.1736671303</v>
      </c>
      <c r="N117" s="459"/>
      <c r="O117" s="459"/>
      <c r="P117" s="414"/>
    </row>
    <row r="118" spans="3:16">
      <c r="C118" s="449">
        <f>IF(D96="","-",+C117+1)</f>
        <v>2024</v>
      </c>
      <c r="D118" s="412">
        <f t="shared" si="1"/>
        <v>8308920.0365384649</v>
      </c>
      <c r="E118" s="456">
        <f t="shared" si="5"/>
        <v>353571.06538461539</v>
      </c>
      <c r="F118" s="412">
        <f t="shared" si="0"/>
        <v>7955348.9711538497</v>
      </c>
      <c r="G118" s="851">
        <f t="shared" si="2"/>
        <v>1263607.2585481135</v>
      </c>
      <c r="H118" s="854">
        <f t="shared" si="3"/>
        <v>1263607.2585481135</v>
      </c>
      <c r="I118" s="453">
        <f t="shared" si="4"/>
        <v>0</v>
      </c>
      <c r="J118" s="453"/>
      <c r="K118" s="566">
        <v>1355621.5514021982</v>
      </c>
      <c r="L118" s="459"/>
      <c r="M118" s="566">
        <v>1355621.5514021982</v>
      </c>
      <c r="N118" s="459"/>
      <c r="O118" s="459"/>
      <c r="P118" s="414"/>
    </row>
    <row r="119" spans="3:16">
      <c r="C119" s="449">
        <f>IF(D96="","-",+C118+1)</f>
        <v>2025</v>
      </c>
      <c r="D119" s="412">
        <f t="shared" si="1"/>
        <v>7955348.9711538497</v>
      </c>
      <c r="E119" s="456">
        <f t="shared" si="5"/>
        <v>353571.06538461539</v>
      </c>
      <c r="F119" s="412">
        <f t="shared" si="0"/>
        <v>7601777.9057692345</v>
      </c>
      <c r="G119" s="851">
        <f t="shared" si="2"/>
        <v>1224040.467541005</v>
      </c>
      <c r="H119" s="854">
        <f t="shared" si="3"/>
        <v>1224040.467541005</v>
      </c>
      <c r="I119" s="453">
        <f t="shared" si="4"/>
        <v>0</v>
      </c>
      <c r="J119" s="453"/>
      <c r="K119" s="566">
        <v>1245388.966179545</v>
      </c>
      <c r="L119" s="459"/>
      <c r="M119" s="566">
        <v>1245388.966179545</v>
      </c>
      <c r="N119" s="459"/>
      <c r="O119" s="459"/>
      <c r="P119" s="414"/>
    </row>
    <row r="120" spans="3:16">
      <c r="C120" s="855">
        <f>IF(D96="","-",+C119+1)</f>
        <v>2026</v>
      </c>
      <c r="D120" s="412">
        <f t="shared" si="1"/>
        <v>7601777.9057692345</v>
      </c>
      <c r="E120" s="456">
        <f t="shared" si="5"/>
        <v>353571.06538461539</v>
      </c>
      <c r="F120" s="412">
        <f t="shared" si="0"/>
        <v>7248206.8403846193</v>
      </c>
      <c r="G120" s="851">
        <f t="shared" si="2"/>
        <v>1184473.6765338962</v>
      </c>
      <c r="H120" s="854">
        <f t="shared" si="3"/>
        <v>1184473.6765338962</v>
      </c>
      <c r="I120" s="453">
        <f t="shared" si="4"/>
        <v>0</v>
      </c>
      <c r="J120" s="453"/>
      <c r="K120" s="566"/>
      <c r="L120" s="459"/>
      <c r="M120" s="566"/>
      <c r="N120" s="459"/>
      <c r="O120" s="459"/>
      <c r="P120" s="414"/>
    </row>
    <row r="121" spans="3:16">
      <c r="C121" s="449">
        <f>IF(D96="","-",+C120+1)</f>
        <v>2027</v>
      </c>
      <c r="D121" s="412">
        <f t="shared" si="1"/>
        <v>7248206.8403846193</v>
      </c>
      <c r="E121" s="456">
        <f t="shared" si="5"/>
        <v>353571.06538461539</v>
      </c>
      <c r="F121" s="412">
        <f t="shared" si="0"/>
        <v>6894635.7750000041</v>
      </c>
      <c r="G121" s="851">
        <f t="shared" si="2"/>
        <v>1144906.8855267877</v>
      </c>
      <c r="H121" s="854">
        <f t="shared" si="3"/>
        <v>1144906.8855267877</v>
      </c>
      <c r="I121" s="453">
        <f t="shared" si="4"/>
        <v>0</v>
      </c>
      <c r="J121" s="453"/>
      <c r="K121" s="566"/>
      <c r="L121" s="459"/>
      <c r="M121" s="566"/>
      <c r="N121" s="459"/>
      <c r="O121" s="459"/>
      <c r="P121" s="414"/>
    </row>
    <row r="122" spans="3:16">
      <c r="C122" s="449">
        <f>IF(D96="","-",+C121+1)</f>
        <v>2028</v>
      </c>
      <c r="D122" s="412">
        <f t="shared" si="1"/>
        <v>6894635.7750000041</v>
      </c>
      <c r="E122" s="456">
        <f t="shared" si="5"/>
        <v>353571.06538461539</v>
      </c>
      <c r="F122" s="412">
        <f t="shared" si="0"/>
        <v>6541064.7096153889</v>
      </c>
      <c r="G122" s="851">
        <f t="shared" si="2"/>
        <v>1105340.0945196792</v>
      </c>
      <c r="H122" s="854">
        <f t="shared" si="3"/>
        <v>1105340.0945196792</v>
      </c>
      <c r="I122" s="453">
        <f t="shared" si="4"/>
        <v>0</v>
      </c>
      <c r="J122" s="453"/>
      <c r="K122" s="566"/>
      <c r="L122" s="459"/>
      <c r="M122" s="566"/>
      <c r="N122" s="459"/>
      <c r="O122" s="459"/>
      <c r="P122" s="414"/>
    </row>
    <row r="123" spans="3:16">
      <c r="C123" s="449">
        <f>IF(D96="","-",+C122+1)</f>
        <v>2029</v>
      </c>
      <c r="D123" s="412">
        <f t="shared" si="1"/>
        <v>6541064.7096153889</v>
      </c>
      <c r="E123" s="456">
        <f t="shared" si="5"/>
        <v>353571.06538461539</v>
      </c>
      <c r="F123" s="412">
        <f t="shared" si="0"/>
        <v>6187493.6442307737</v>
      </c>
      <c r="G123" s="851">
        <f t="shared" si="2"/>
        <v>1065773.3035125707</v>
      </c>
      <c r="H123" s="854">
        <f t="shared" si="3"/>
        <v>1065773.3035125707</v>
      </c>
      <c r="I123" s="453">
        <f t="shared" si="4"/>
        <v>0</v>
      </c>
      <c r="J123" s="453"/>
      <c r="K123" s="566"/>
      <c r="L123" s="459"/>
      <c r="M123" s="566"/>
      <c r="N123" s="459"/>
      <c r="O123" s="459"/>
      <c r="P123" s="414"/>
    </row>
    <row r="124" spans="3:16">
      <c r="C124" s="449">
        <f>IF(D96="","-",+C123+1)</f>
        <v>2030</v>
      </c>
      <c r="D124" s="412">
        <f t="shared" si="1"/>
        <v>6187493.6442307737</v>
      </c>
      <c r="E124" s="456">
        <f t="shared" si="5"/>
        <v>353571.06538461539</v>
      </c>
      <c r="F124" s="412">
        <f t="shared" si="0"/>
        <v>5833922.5788461585</v>
      </c>
      <c r="G124" s="851">
        <f t="shared" si="2"/>
        <v>1026206.5125054619</v>
      </c>
      <c r="H124" s="854">
        <f t="shared" si="3"/>
        <v>1026206.5125054619</v>
      </c>
      <c r="I124" s="453">
        <f t="shared" si="4"/>
        <v>0</v>
      </c>
      <c r="J124" s="453"/>
      <c r="K124" s="566"/>
      <c r="L124" s="459"/>
      <c r="M124" s="566"/>
      <c r="N124" s="459"/>
      <c r="O124" s="459"/>
      <c r="P124" s="414"/>
    </row>
    <row r="125" spans="3:16">
      <c r="C125" s="449">
        <f>IF(D96="","-",+C124+1)</f>
        <v>2031</v>
      </c>
      <c r="D125" s="412">
        <f t="shared" si="1"/>
        <v>5833922.5788461585</v>
      </c>
      <c r="E125" s="456">
        <f t="shared" si="5"/>
        <v>353571.06538461539</v>
      </c>
      <c r="F125" s="412">
        <f t="shared" si="0"/>
        <v>5480351.5134615432</v>
      </c>
      <c r="G125" s="851">
        <f t="shared" si="2"/>
        <v>986639.72149835341</v>
      </c>
      <c r="H125" s="854">
        <f t="shared" si="3"/>
        <v>986639.72149835341</v>
      </c>
      <c r="I125" s="453">
        <f t="shared" si="4"/>
        <v>0</v>
      </c>
      <c r="J125" s="453"/>
      <c r="K125" s="566"/>
      <c r="L125" s="459"/>
      <c r="M125" s="566"/>
      <c r="N125" s="459"/>
      <c r="O125" s="459"/>
      <c r="P125" s="414"/>
    </row>
    <row r="126" spans="3:16">
      <c r="C126" s="449">
        <f>IF(D96="","-",+C125+1)</f>
        <v>2032</v>
      </c>
      <c r="D126" s="412">
        <f t="shared" si="1"/>
        <v>5480351.5134615432</v>
      </c>
      <c r="E126" s="456">
        <f t="shared" si="5"/>
        <v>353571.06538461539</v>
      </c>
      <c r="F126" s="412">
        <f t="shared" si="0"/>
        <v>5126780.448076928</v>
      </c>
      <c r="G126" s="851">
        <f t="shared" si="2"/>
        <v>947072.93049124489</v>
      </c>
      <c r="H126" s="854">
        <f t="shared" si="3"/>
        <v>947072.93049124489</v>
      </c>
      <c r="I126" s="453">
        <f t="shared" si="4"/>
        <v>0</v>
      </c>
      <c r="J126" s="453"/>
      <c r="K126" s="566"/>
      <c r="L126" s="459"/>
      <c r="M126" s="566"/>
      <c r="N126" s="459"/>
      <c r="O126" s="459"/>
      <c r="P126" s="414"/>
    </row>
    <row r="127" spans="3:16">
      <c r="C127" s="449">
        <f>IF(D96="","-",+C126+1)</f>
        <v>2033</v>
      </c>
      <c r="D127" s="412">
        <f t="shared" si="1"/>
        <v>5126780.448076928</v>
      </c>
      <c r="E127" s="456">
        <f t="shared" si="5"/>
        <v>353571.06538461539</v>
      </c>
      <c r="F127" s="412">
        <f t="shared" si="0"/>
        <v>4773209.3826923128</v>
      </c>
      <c r="G127" s="851">
        <f t="shared" si="2"/>
        <v>907506.13948413637</v>
      </c>
      <c r="H127" s="854">
        <f t="shared" si="3"/>
        <v>907506.13948413637</v>
      </c>
      <c r="I127" s="453">
        <f t="shared" si="4"/>
        <v>0</v>
      </c>
      <c r="J127" s="453"/>
      <c r="K127" s="566"/>
      <c r="L127" s="459"/>
      <c r="M127" s="566"/>
      <c r="N127" s="459"/>
      <c r="O127" s="459"/>
      <c r="P127" s="414"/>
    </row>
    <row r="128" spans="3:16">
      <c r="C128" s="449">
        <f>IF(D96="","-",+C127+1)</f>
        <v>2034</v>
      </c>
      <c r="D128" s="412">
        <f t="shared" si="1"/>
        <v>4773209.3826923128</v>
      </c>
      <c r="E128" s="456">
        <f t="shared" si="5"/>
        <v>353571.06538461539</v>
      </c>
      <c r="F128" s="412">
        <f t="shared" si="0"/>
        <v>4419638.3173076976</v>
      </c>
      <c r="G128" s="851">
        <f t="shared" si="2"/>
        <v>867939.34847702773</v>
      </c>
      <c r="H128" s="854">
        <f t="shared" si="3"/>
        <v>867939.34847702773</v>
      </c>
      <c r="I128" s="453">
        <f t="shared" si="4"/>
        <v>0</v>
      </c>
      <c r="J128" s="453"/>
      <c r="K128" s="566"/>
      <c r="L128" s="459"/>
      <c r="M128" s="566"/>
      <c r="N128" s="459"/>
      <c r="O128" s="459"/>
      <c r="P128" s="414"/>
    </row>
    <row r="129" spans="3:16">
      <c r="C129" s="449">
        <f>IF(D96="","-",+C128+1)</f>
        <v>2035</v>
      </c>
      <c r="D129" s="412">
        <f t="shared" si="1"/>
        <v>4419638.3173076976</v>
      </c>
      <c r="E129" s="456">
        <f t="shared" si="5"/>
        <v>353571.06538461539</v>
      </c>
      <c r="F129" s="412">
        <f t="shared" si="0"/>
        <v>4066067.2519230824</v>
      </c>
      <c r="G129" s="851">
        <f t="shared" si="2"/>
        <v>828372.55746991909</v>
      </c>
      <c r="H129" s="854">
        <f t="shared" si="3"/>
        <v>828372.55746991909</v>
      </c>
      <c r="I129" s="453">
        <f t="shared" si="4"/>
        <v>0</v>
      </c>
      <c r="J129" s="453"/>
      <c r="K129" s="566"/>
      <c r="L129" s="459"/>
      <c r="M129" s="566"/>
      <c r="N129" s="459"/>
      <c r="O129" s="459"/>
      <c r="P129" s="414"/>
    </row>
    <row r="130" spans="3:16">
      <c r="C130" s="449">
        <f>IF(D96="","-",+C129+1)</f>
        <v>2036</v>
      </c>
      <c r="D130" s="412">
        <f t="shared" si="1"/>
        <v>4066067.2519230824</v>
      </c>
      <c r="E130" s="456">
        <f t="shared" si="5"/>
        <v>353571.06538461539</v>
      </c>
      <c r="F130" s="412">
        <f t="shared" si="0"/>
        <v>3712496.1865384672</v>
      </c>
      <c r="G130" s="860">
        <f t="shared" si="2"/>
        <v>788805.76646281057</v>
      </c>
      <c r="H130" s="854">
        <f t="shared" si="3"/>
        <v>788805.76646281057</v>
      </c>
      <c r="I130" s="453">
        <f t="shared" si="4"/>
        <v>0</v>
      </c>
      <c r="J130" s="453"/>
      <c r="K130" s="566"/>
      <c r="L130" s="459"/>
      <c r="M130" s="566"/>
      <c r="N130" s="459"/>
      <c r="O130" s="459"/>
      <c r="P130" s="414"/>
    </row>
    <row r="131" spans="3:16">
      <c r="C131" s="449">
        <f>IF(D96="","-",+C130+1)</f>
        <v>2037</v>
      </c>
      <c r="D131" s="412">
        <f t="shared" si="1"/>
        <v>3712496.1865384672</v>
      </c>
      <c r="E131" s="456">
        <f t="shared" si="5"/>
        <v>353571.06538461539</v>
      </c>
      <c r="F131" s="412">
        <f t="shared" si="0"/>
        <v>3358925.121153852</v>
      </c>
      <c r="G131" s="851">
        <f t="shared" si="2"/>
        <v>749238.97545570205</v>
      </c>
      <c r="H131" s="854">
        <f t="shared" si="3"/>
        <v>749238.97545570205</v>
      </c>
      <c r="I131" s="453">
        <f t="shared" si="4"/>
        <v>0</v>
      </c>
      <c r="J131" s="453"/>
      <c r="K131" s="566"/>
      <c r="L131" s="459"/>
      <c r="M131" s="566"/>
      <c r="N131" s="459"/>
      <c r="O131" s="459"/>
      <c r="P131" s="414"/>
    </row>
    <row r="132" spans="3:16">
      <c r="C132" s="449">
        <f>IF(D96="","-",+C131+1)</f>
        <v>2038</v>
      </c>
      <c r="D132" s="412">
        <f t="shared" si="1"/>
        <v>3358925.121153852</v>
      </c>
      <c r="E132" s="456">
        <f t="shared" si="5"/>
        <v>353571.06538461539</v>
      </c>
      <c r="F132" s="412">
        <f t="shared" si="0"/>
        <v>3005354.0557692368</v>
      </c>
      <c r="G132" s="851">
        <f t="shared" si="2"/>
        <v>709672.18444859341</v>
      </c>
      <c r="H132" s="854">
        <f t="shared" si="3"/>
        <v>709672.18444859341</v>
      </c>
      <c r="I132" s="453">
        <f t="shared" si="4"/>
        <v>0</v>
      </c>
      <c r="J132" s="453"/>
      <c r="K132" s="566"/>
      <c r="L132" s="459"/>
      <c r="M132" s="566"/>
      <c r="N132" s="459"/>
      <c r="O132" s="459"/>
      <c r="P132" s="414"/>
    </row>
    <row r="133" spans="3:16">
      <c r="C133" s="449">
        <f>IF(D96="","-",+C132+1)</f>
        <v>2039</v>
      </c>
      <c r="D133" s="412">
        <f t="shared" si="1"/>
        <v>3005354.0557692368</v>
      </c>
      <c r="E133" s="456">
        <f t="shared" si="5"/>
        <v>353571.06538461539</v>
      </c>
      <c r="F133" s="412">
        <f t="shared" si="0"/>
        <v>2651782.9903846215</v>
      </c>
      <c r="G133" s="851">
        <f t="shared" si="2"/>
        <v>670105.39344148478</v>
      </c>
      <c r="H133" s="854">
        <f t="shared" si="3"/>
        <v>670105.39344148478</v>
      </c>
      <c r="I133" s="453">
        <f t="shared" si="4"/>
        <v>0</v>
      </c>
      <c r="J133" s="453"/>
      <c r="K133" s="566"/>
      <c r="L133" s="459"/>
      <c r="M133" s="566"/>
      <c r="N133" s="459"/>
      <c r="O133" s="459"/>
      <c r="P133" s="414"/>
    </row>
    <row r="134" spans="3:16">
      <c r="C134" s="449">
        <f>IF(D96="","-",+C133+1)</f>
        <v>2040</v>
      </c>
      <c r="D134" s="412">
        <f t="shared" si="1"/>
        <v>2651782.9903846215</v>
      </c>
      <c r="E134" s="456">
        <f t="shared" si="5"/>
        <v>353571.06538461539</v>
      </c>
      <c r="F134" s="412">
        <f t="shared" si="0"/>
        <v>2298211.9250000063</v>
      </c>
      <c r="G134" s="851">
        <f t="shared" si="2"/>
        <v>630538.60243437625</v>
      </c>
      <c r="H134" s="854">
        <f t="shared" si="3"/>
        <v>630538.60243437625</v>
      </c>
      <c r="I134" s="453">
        <f t="shared" si="4"/>
        <v>0</v>
      </c>
      <c r="J134" s="453"/>
      <c r="K134" s="566"/>
      <c r="L134" s="459"/>
      <c r="M134" s="566"/>
      <c r="N134" s="459"/>
      <c r="O134" s="459"/>
      <c r="P134" s="414"/>
    </row>
    <row r="135" spans="3:16">
      <c r="C135" s="449">
        <f>IF(D96="","-",+C134+1)</f>
        <v>2041</v>
      </c>
      <c r="D135" s="412">
        <f t="shared" si="1"/>
        <v>2298211.9250000063</v>
      </c>
      <c r="E135" s="456">
        <f t="shared" si="5"/>
        <v>353571.06538461539</v>
      </c>
      <c r="F135" s="412">
        <f t="shared" si="0"/>
        <v>1944640.8596153909</v>
      </c>
      <c r="G135" s="851">
        <f t="shared" si="2"/>
        <v>590971.81142726773</v>
      </c>
      <c r="H135" s="854">
        <f t="shared" si="3"/>
        <v>590971.81142726773</v>
      </c>
      <c r="I135" s="453">
        <f t="shared" si="4"/>
        <v>0</v>
      </c>
      <c r="J135" s="453"/>
      <c r="K135" s="566"/>
      <c r="L135" s="459"/>
      <c r="M135" s="566"/>
      <c r="N135" s="459"/>
      <c r="O135" s="459"/>
      <c r="P135" s="414"/>
    </row>
    <row r="136" spans="3:16">
      <c r="C136" s="449">
        <f>IF(D96="","-",+C135+1)</f>
        <v>2042</v>
      </c>
      <c r="D136" s="412">
        <f t="shared" si="1"/>
        <v>1944640.8596153909</v>
      </c>
      <c r="E136" s="456">
        <f t="shared" si="5"/>
        <v>353571.06538461539</v>
      </c>
      <c r="F136" s="412">
        <f t="shared" si="0"/>
        <v>1591069.7942307754</v>
      </c>
      <c r="G136" s="851">
        <f t="shared" si="2"/>
        <v>551405.0204201591</v>
      </c>
      <c r="H136" s="854">
        <f t="shared" si="3"/>
        <v>551405.0204201591</v>
      </c>
      <c r="I136" s="453">
        <f t="shared" si="4"/>
        <v>0</v>
      </c>
      <c r="J136" s="453"/>
      <c r="K136" s="566"/>
      <c r="L136" s="459"/>
      <c r="M136" s="566"/>
      <c r="N136" s="459"/>
      <c r="O136" s="459"/>
      <c r="P136" s="414"/>
    </row>
    <row r="137" spans="3:16">
      <c r="C137" s="449">
        <f>IF(D96="","-",+C136+1)</f>
        <v>2043</v>
      </c>
      <c r="D137" s="412">
        <f t="shared" si="1"/>
        <v>1591069.7942307754</v>
      </c>
      <c r="E137" s="456">
        <f t="shared" si="5"/>
        <v>353571.06538461539</v>
      </c>
      <c r="F137" s="412">
        <f t="shared" si="0"/>
        <v>1237498.72884616</v>
      </c>
      <c r="G137" s="851">
        <f t="shared" si="2"/>
        <v>511838.22941305046</v>
      </c>
      <c r="H137" s="854">
        <f t="shared" si="3"/>
        <v>511838.22941305046</v>
      </c>
      <c r="I137" s="453">
        <f t="shared" si="4"/>
        <v>0</v>
      </c>
      <c r="J137" s="453"/>
      <c r="K137" s="566"/>
      <c r="L137" s="459"/>
      <c r="M137" s="566"/>
      <c r="N137" s="459"/>
      <c r="O137" s="459"/>
      <c r="P137" s="414"/>
    </row>
    <row r="138" spans="3:16">
      <c r="C138" s="449">
        <f>IF(D96="","-",+C137+1)</f>
        <v>2044</v>
      </c>
      <c r="D138" s="412">
        <f t="shared" si="1"/>
        <v>1237498.72884616</v>
      </c>
      <c r="E138" s="456">
        <f t="shared" si="5"/>
        <v>353571.06538461539</v>
      </c>
      <c r="F138" s="412">
        <f t="shared" si="0"/>
        <v>883927.66346154455</v>
      </c>
      <c r="G138" s="851">
        <f t="shared" si="2"/>
        <v>472271.43840594182</v>
      </c>
      <c r="H138" s="854">
        <f t="shared" si="3"/>
        <v>472271.43840594182</v>
      </c>
      <c r="I138" s="453">
        <f t="shared" si="4"/>
        <v>0</v>
      </c>
      <c r="J138" s="453"/>
      <c r="K138" s="566"/>
      <c r="L138" s="459"/>
      <c r="M138" s="566"/>
      <c r="N138" s="459"/>
      <c r="O138" s="459"/>
      <c r="P138" s="414"/>
    </row>
    <row r="139" spans="3:16">
      <c r="C139" s="449">
        <f>IF(D96="","-",+C138+1)</f>
        <v>2045</v>
      </c>
      <c r="D139" s="412">
        <f t="shared" si="1"/>
        <v>883927.66346154455</v>
      </c>
      <c r="E139" s="456">
        <f t="shared" si="5"/>
        <v>353571.06538461539</v>
      </c>
      <c r="F139" s="412">
        <f t="shared" si="0"/>
        <v>530356.59807692911</v>
      </c>
      <c r="G139" s="851">
        <f t="shared" si="2"/>
        <v>432704.64739883324</v>
      </c>
      <c r="H139" s="854">
        <f t="shared" si="3"/>
        <v>432704.64739883324</v>
      </c>
      <c r="I139" s="453">
        <f t="shared" si="4"/>
        <v>0</v>
      </c>
      <c r="J139" s="453"/>
      <c r="K139" s="566"/>
      <c r="L139" s="459"/>
      <c r="M139" s="566"/>
      <c r="N139" s="459"/>
      <c r="O139" s="459"/>
      <c r="P139" s="414"/>
    </row>
    <row r="140" spans="3:16">
      <c r="C140" s="449">
        <f>IF(D96="","-",+C139+1)</f>
        <v>2046</v>
      </c>
      <c r="D140" s="412">
        <f t="shared" si="1"/>
        <v>530356.59807692911</v>
      </c>
      <c r="E140" s="456">
        <f t="shared" si="5"/>
        <v>353571.06538461539</v>
      </c>
      <c r="F140" s="412">
        <f t="shared" si="0"/>
        <v>176785.53269231372</v>
      </c>
      <c r="G140" s="851">
        <f t="shared" si="2"/>
        <v>393137.85639172466</v>
      </c>
      <c r="H140" s="854">
        <f t="shared" si="3"/>
        <v>393137.85639172466</v>
      </c>
      <c r="I140" s="453">
        <f t="shared" si="4"/>
        <v>0</v>
      </c>
      <c r="J140" s="453"/>
      <c r="K140" s="566"/>
      <c r="L140" s="459"/>
      <c r="M140" s="566"/>
      <c r="N140" s="459"/>
      <c r="O140" s="459"/>
      <c r="P140" s="414"/>
    </row>
    <row r="141" spans="3:16">
      <c r="C141" s="449">
        <f>IF(D96="","-",+C140+1)</f>
        <v>2047</v>
      </c>
      <c r="D141" s="412">
        <f t="shared" si="1"/>
        <v>176785.53269231372</v>
      </c>
      <c r="E141" s="456">
        <f t="shared" si="5"/>
        <v>176785.53269231372</v>
      </c>
      <c r="F141" s="412">
        <f t="shared" si="0"/>
        <v>0</v>
      </c>
      <c r="G141" s="851">
        <f t="shared" si="2"/>
        <v>186677.2304440912</v>
      </c>
      <c r="H141" s="854">
        <f t="shared" si="3"/>
        <v>186677.2304440912</v>
      </c>
      <c r="I141" s="453">
        <f t="shared" si="4"/>
        <v>0</v>
      </c>
      <c r="J141" s="453"/>
      <c r="K141" s="566"/>
      <c r="L141" s="459"/>
      <c r="M141" s="566"/>
      <c r="N141" s="459"/>
      <c r="O141" s="459"/>
      <c r="P141" s="414"/>
    </row>
    <row r="142" spans="3:16">
      <c r="C142" s="449">
        <f>IF(D96="","-",+C141+1)</f>
        <v>2048</v>
      </c>
      <c r="D142" s="412">
        <f t="shared" si="1"/>
        <v>0</v>
      </c>
      <c r="E142" s="456">
        <f t="shared" si="5"/>
        <v>0</v>
      </c>
      <c r="F142" s="412">
        <f t="shared" si="0"/>
        <v>0</v>
      </c>
      <c r="G142" s="851">
        <f t="shared" si="2"/>
        <v>0</v>
      </c>
      <c r="H142" s="854">
        <f t="shared" si="3"/>
        <v>0</v>
      </c>
      <c r="I142" s="453">
        <f t="shared" si="4"/>
        <v>0</v>
      </c>
      <c r="J142" s="453"/>
      <c r="K142" s="566"/>
      <c r="L142" s="459"/>
      <c r="M142" s="566"/>
      <c r="N142" s="459"/>
      <c r="O142" s="459"/>
      <c r="P142" s="414"/>
    </row>
    <row r="143" spans="3:16">
      <c r="C143" s="449">
        <f>IF(D96="","-",+C142+1)</f>
        <v>2049</v>
      </c>
      <c r="D143" s="412">
        <f t="shared" si="1"/>
        <v>0</v>
      </c>
      <c r="E143" s="456">
        <f t="shared" si="5"/>
        <v>0</v>
      </c>
      <c r="F143" s="412">
        <f t="shared" si="0"/>
        <v>0</v>
      </c>
      <c r="G143" s="851">
        <f t="shared" si="2"/>
        <v>0</v>
      </c>
      <c r="H143" s="854">
        <f t="shared" si="3"/>
        <v>0</v>
      </c>
      <c r="I143" s="453">
        <f t="shared" si="4"/>
        <v>0</v>
      </c>
      <c r="J143" s="453"/>
      <c r="K143" s="566"/>
      <c r="L143" s="459"/>
      <c r="M143" s="566"/>
      <c r="N143" s="459"/>
      <c r="O143" s="459"/>
      <c r="P143" s="414"/>
    </row>
    <row r="144" spans="3:16">
      <c r="C144" s="449">
        <f>IF(D96="","-",+C143+1)</f>
        <v>2050</v>
      </c>
      <c r="D144" s="412">
        <f t="shared" si="1"/>
        <v>0</v>
      </c>
      <c r="E144" s="456">
        <f t="shared" si="5"/>
        <v>0</v>
      </c>
      <c r="F144" s="412">
        <f t="shared" si="0"/>
        <v>0</v>
      </c>
      <c r="G144" s="851">
        <f t="shared" si="2"/>
        <v>0</v>
      </c>
      <c r="H144" s="854">
        <f t="shared" si="3"/>
        <v>0</v>
      </c>
      <c r="I144" s="453">
        <f t="shared" si="4"/>
        <v>0</v>
      </c>
      <c r="J144" s="453"/>
      <c r="K144" s="566"/>
      <c r="L144" s="459"/>
      <c r="M144" s="566"/>
      <c r="N144" s="459"/>
      <c r="O144" s="459"/>
      <c r="P144" s="414"/>
    </row>
    <row r="145" spans="3:16">
      <c r="C145" s="449">
        <f>IF(D96="","-",+C144+1)</f>
        <v>2051</v>
      </c>
      <c r="D145" s="412">
        <f t="shared" si="1"/>
        <v>0</v>
      </c>
      <c r="E145" s="456">
        <f t="shared" si="5"/>
        <v>0</v>
      </c>
      <c r="F145" s="412">
        <f t="shared" si="0"/>
        <v>0</v>
      </c>
      <c r="G145" s="851">
        <f t="shared" si="2"/>
        <v>0</v>
      </c>
      <c r="H145" s="854">
        <f t="shared" si="3"/>
        <v>0</v>
      </c>
      <c r="I145" s="453">
        <f t="shared" si="4"/>
        <v>0</v>
      </c>
      <c r="J145" s="453"/>
      <c r="K145" s="566"/>
      <c r="L145" s="459"/>
      <c r="M145" s="566"/>
      <c r="N145" s="459"/>
      <c r="O145" s="459"/>
      <c r="P145" s="414"/>
    </row>
    <row r="146" spans="3:16">
      <c r="C146" s="449">
        <f>IF(D96="","-",+C145+1)</f>
        <v>2052</v>
      </c>
      <c r="D146" s="412">
        <f t="shared" si="1"/>
        <v>0</v>
      </c>
      <c r="E146" s="456">
        <f t="shared" si="5"/>
        <v>0</v>
      </c>
      <c r="F146" s="412">
        <f t="shared" si="0"/>
        <v>0</v>
      </c>
      <c r="G146" s="851">
        <f t="shared" si="2"/>
        <v>0</v>
      </c>
      <c r="H146" s="854">
        <f t="shared" si="3"/>
        <v>0</v>
      </c>
      <c r="I146" s="453">
        <f t="shared" si="4"/>
        <v>0</v>
      </c>
      <c r="J146" s="453"/>
      <c r="K146" s="566"/>
      <c r="L146" s="459"/>
      <c r="M146" s="566"/>
      <c r="N146" s="459"/>
      <c r="O146" s="459"/>
      <c r="P146" s="414"/>
    </row>
    <row r="147" spans="3:16">
      <c r="C147" s="449">
        <f>IF(D96="","-",+C146+1)</f>
        <v>2053</v>
      </c>
      <c r="D147" s="412">
        <f t="shared" si="1"/>
        <v>0</v>
      </c>
      <c r="E147" s="456">
        <f t="shared" si="5"/>
        <v>0</v>
      </c>
      <c r="F147" s="412">
        <f t="shared" si="0"/>
        <v>0</v>
      </c>
      <c r="G147" s="851">
        <f t="shared" si="2"/>
        <v>0</v>
      </c>
      <c r="H147" s="854">
        <f t="shared" si="3"/>
        <v>0</v>
      </c>
      <c r="I147" s="453">
        <f t="shared" si="4"/>
        <v>0</v>
      </c>
      <c r="J147" s="453"/>
      <c r="K147" s="566"/>
      <c r="L147" s="459"/>
      <c r="M147" s="566"/>
      <c r="N147" s="459"/>
      <c r="O147" s="459"/>
      <c r="P147" s="414"/>
    </row>
    <row r="148" spans="3:16">
      <c r="C148" s="449">
        <f>IF(D96="","-",+C147+1)</f>
        <v>2054</v>
      </c>
      <c r="D148" s="412">
        <f t="shared" si="1"/>
        <v>0</v>
      </c>
      <c r="E148" s="456">
        <f t="shared" si="5"/>
        <v>0</v>
      </c>
      <c r="F148" s="412">
        <f t="shared" si="0"/>
        <v>0</v>
      </c>
      <c r="G148" s="851">
        <f t="shared" si="2"/>
        <v>0</v>
      </c>
      <c r="H148" s="854">
        <f t="shared" si="3"/>
        <v>0</v>
      </c>
      <c r="I148" s="453">
        <f t="shared" si="4"/>
        <v>0</v>
      </c>
      <c r="J148" s="453"/>
      <c r="K148" s="566"/>
      <c r="L148" s="459"/>
      <c r="M148" s="566"/>
      <c r="N148" s="459"/>
      <c r="O148" s="459"/>
      <c r="P148" s="414"/>
    </row>
    <row r="149" spans="3:16">
      <c r="C149" s="449">
        <f>IF(D96="","-",+C148+1)</f>
        <v>2055</v>
      </c>
      <c r="D149" s="412">
        <f t="shared" si="1"/>
        <v>0</v>
      </c>
      <c r="E149" s="456">
        <f t="shared" si="5"/>
        <v>0</v>
      </c>
      <c r="F149" s="412">
        <f t="shared" si="0"/>
        <v>0</v>
      </c>
      <c r="G149" s="851">
        <f t="shared" si="2"/>
        <v>0</v>
      </c>
      <c r="H149" s="854">
        <f t="shared" si="3"/>
        <v>0</v>
      </c>
      <c r="I149" s="453">
        <f t="shared" si="4"/>
        <v>0</v>
      </c>
      <c r="J149" s="453"/>
      <c r="K149" s="566"/>
      <c r="L149" s="459"/>
      <c r="M149" s="566"/>
      <c r="N149" s="459"/>
      <c r="O149" s="459"/>
      <c r="P149" s="414"/>
    </row>
    <row r="150" spans="3:16">
      <c r="C150" s="449">
        <f>IF(D96="","-",+C149+1)</f>
        <v>2056</v>
      </c>
      <c r="D150" s="412">
        <f t="shared" si="1"/>
        <v>0</v>
      </c>
      <c r="E150" s="456">
        <f t="shared" si="5"/>
        <v>0</v>
      </c>
      <c r="F150" s="412">
        <f t="shared" si="0"/>
        <v>0</v>
      </c>
      <c r="G150" s="851">
        <f t="shared" si="2"/>
        <v>0</v>
      </c>
      <c r="H150" s="854">
        <f t="shared" si="3"/>
        <v>0</v>
      </c>
      <c r="I150" s="453">
        <f t="shared" si="4"/>
        <v>0</v>
      </c>
      <c r="J150" s="453"/>
      <c r="K150" s="566"/>
      <c r="L150" s="459"/>
      <c r="M150" s="566"/>
      <c r="N150" s="459"/>
      <c r="O150" s="459"/>
      <c r="P150" s="414"/>
    </row>
    <row r="151" spans="3:16">
      <c r="C151" s="449">
        <f>IF(D96="","-",+C150+1)</f>
        <v>2057</v>
      </c>
      <c r="D151" s="412">
        <f t="shared" si="1"/>
        <v>0</v>
      </c>
      <c r="E151" s="456">
        <f t="shared" si="5"/>
        <v>0</v>
      </c>
      <c r="F151" s="412">
        <f t="shared" si="0"/>
        <v>0</v>
      </c>
      <c r="G151" s="851">
        <f t="shared" si="2"/>
        <v>0</v>
      </c>
      <c r="H151" s="854">
        <f t="shared" si="3"/>
        <v>0</v>
      </c>
      <c r="I151" s="453">
        <f t="shared" si="4"/>
        <v>0</v>
      </c>
      <c r="J151" s="453"/>
      <c r="K151" s="566"/>
      <c r="L151" s="459"/>
      <c r="M151" s="566"/>
      <c r="N151" s="459"/>
      <c r="O151" s="459"/>
      <c r="P151" s="414"/>
    </row>
    <row r="152" spans="3:16">
      <c r="C152" s="449">
        <f>IF(D96="","-",+C151+1)</f>
        <v>2058</v>
      </c>
      <c r="D152" s="412">
        <f t="shared" si="1"/>
        <v>0</v>
      </c>
      <c r="E152" s="456">
        <f t="shared" si="5"/>
        <v>0</v>
      </c>
      <c r="F152" s="412">
        <f t="shared" si="0"/>
        <v>0</v>
      </c>
      <c r="G152" s="851">
        <f t="shared" si="2"/>
        <v>0</v>
      </c>
      <c r="H152" s="854">
        <f t="shared" si="3"/>
        <v>0</v>
      </c>
      <c r="I152" s="453">
        <f t="shared" si="4"/>
        <v>0</v>
      </c>
      <c r="J152" s="453"/>
      <c r="K152" s="566"/>
      <c r="L152" s="459"/>
      <c r="M152" s="566"/>
      <c r="N152" s="459"/>
      <c r="O152" s="459"/>
      <c r="P152" s="414"/>
    </row>
    <row r="153" spans="3:16">
      <c r="C153" s="449">
        <f>IF(D96="","-",+C152+1)</f>
        <v>2059</v>
      </c>
      <c r="D153" s="412">
        <f t="shared" si="1"/>
        <v>0</v>
      </c>
      <c r="E153" s="456">
        <f t="shared" si="5"/>
        <v>0</v>
      </c>
      <c r="F153" s="412">
        <f t="shared" si="0"/>
        <v>0</v>
      </c>
      <c r="G153" s="851">
        <f t="shared" si="2"/>
        <v>0</v>
      </c>
      <c r="H153" s="854">
        <f t="shared" si="3"/>
        <v>0</v>
      </c>
      <c r="I153" s="453">
        <f t="shared" si="4"/>
        <v>0</v>
      </c>
      <c r="J153" s="453"/>
      <c r="K153" s="566"/>
      <c r="L153" s="459"/>
      <c r="M153" s="566"/>
      <c r="N153" s="459"/>
      <c r="O153" s="459"/>
      <c r="P153" s="414"/>
    </row>
    <row r="154" spans="3:16">
      <c r="C154" s="449">
        <f>IF(D96="","-",+C153+1)</f>
        <v>2060</v>
      </c>
      <c r="D154" s="412">
        <f t="shared" si="1"/>
        <v>0</v>
      </c>
      <c r="E154" s="456">
        <f t="shared" si="5"/>
        <v>0</v>
      </c>
      <c r="F154" s="412">
        <f t="shared" si="0"/>
        <v>0</v>
      </c>
      <c r="G154" s="851">
        <f t="shared" si="2"/>
        <v>0</v>
      </c>
      <c r="H154" s="854">
        <f t="shared" si="3"/>
        <v>0</v>
      </c>
      <c r="I154" s="453">
        <f t="shared" si="4"/>
        <v>0</v>
      </c>
      <c r="J154" s="453"/>
      <c r="K154" s="566"/>
      <c r="L154" s="459"/>
      <c r="M154" s="566"/>
      <c r="N154" s="459"/>
      <c r="O154" s="459"/>
      <c r="P154" s="414"/>
    </row>
    <row r="155" spans="3:16">
      <c r="C155" s="449">
        <f>IF(D96="","-",+C154+1)</f>
        <v>2061</v>
      </c>
      <c r="D155" s="412">
        <f t="shared" si="1"/>
        <v>0</v>
      </c>
      <c r="E155" s="456">
        <f t="shared" si="5"/>
        <v>0</v>
      </c>
      <c r="F155" s="412">
        <f t="shared" si="0"/>
        <v>0</v>
      </c>
      <c r="G155" s="851">
        <f t="shared" si="2"/>
        <v>0</v>
      </c>
      <c r="H155" s="854">
        <f t="shared" si="3"/>
        <v>0</v>
      </c>
      <c r="I155" s="453">
        <f t="shared" si="4"/>
        <v>0</v>
      </c>
      <c r="J155" s="453"/>
      <c r="K155" s="566"/>
      <c r="L155" s="459"/>
      <c r="M155" s="566"/>
      <c r="N155" s="459"/>
      <c r="O155" s="459"/>
      <c r="P155" s="414"/>
    </row>
    <row r="156" spans="3:16">
      <c r="C156" s="449">
        <f>IF(D96="","-",+C155+1)</f>
        <v>2062</v>
      </c>
      <c r="D156" s="412">
        <f t="shared" si="1"/>
        <v>0</v>
      </c>
      <c r="E156" s="456">
        <f t="shared" si="5"/>
        <v>0</v>
      </c>
      <c r="F156" s="412">
        <f t="shared" si="0"/>
        <v>0</v>
      </c>
      <c r="G156" s="851">
        <f t="shared" si="2"/>
        <v>0</v>
      </c>
      <c r="H156" s="854">
        <f t="shared" si="3"/>
        <v>0</v>
      </c>
      <c r="I156" s="453">
        <f t="shared" si="4"/>
        <v>0</v>
      </c>
      <c r="J156" s="453"/>
      <c r="K156" s="566"/>
      <c r="L156" s="459"/>
      <c r="M156" s="566"/>
      <c r="N156" s="459"/>
      <c r="O156" s="459"/>
      <c r="P156" s="414"/>
    </row>
    <row r="157" spans="3:16">
      <c r="C157" s="449">
        <f>IF(D96="","-",+C156+1)</f>
        <v>2063</v>
      </c>
      <c r="D157" s="412">
        <f t="shared" si="1"/>
        <v>0</v>
      </c>
      <c r="E157" s="456">
        <f t="shared" si="5"/>
        <v>0</v>
      </c>
      <c r="F157" s="412">
        <f t="shared" si="0"/>
        <v>0</v>
      </c>
      <c r="G157" s="851">
        <f t="shared" si="2"/>
        <v>0</v>
      </c>
      <c r="H157" s="854">
        <f t="shared" si="3"/>
        <v>0</v>
      </c>
      <c r="I157" s="453">
        <f t="shared" si="4"/>
        <v>0</v>
      </c>
      <c r="J157" s="453"/>
      <c r="K157" s="566"/>
      <c r="L157" s="459"/>
      <c r="M157" s="566"/>
      <c r="N157" s="459"/>
      <c r="O157" s="459"/>
      <c r="P157" s="414"/>
    </row>
    <row r="158" spans="3:16">
      <c r="C158" s="449">
        <f>IF(D96="","-",+C157+1)</f>
        <v>2064</v>
      </c>
      <c r="D158" s="412">
        <f t="shared" si="1"/>
        <v>0</v>
      </c>
      <c r="E158" s="456">
        <f t="shared" si="5"/>
        <v>0</v>
      </c>
      <c r="F158" s="412">
        <f t="shared" si="0"/>
        <v>0</v>
      </c>
      <c r="G158" s="851">
        <f t="shared" si="2"/>
        <v>0</v>
      </c>
      <c r="H158" s="854">
        <f t="shared" si="3"/>
        <v>0</v>
      </c>
      <c r="I158" s="453">
        <f t="shared" si="4"/>
        <v>0</v>
      </c>
      <c r="J158" s="453"/>
      <c r="K158" s="566"/>
      <c r="L158" s="459"/>
      <c r="M158" s="566"/>
      <c r="N158" s="459"/>
      <c r="O158" s="459"/>
      <c r="P158" s="414"/>
    </row>
    <row r="159" spans="3:16">
      <c r="C159" s="449">
        <f>IF(D96="","-",+C158+1)</f>
        <v>2065</v>
      </c>
      <c r="D159" s="412">
        <f t="shared" si="1"/>
        <v>0</v>
      </c>
      <c r="E159" s="456">
        <f t="shared" si="5"/>
        <v>0</v>
      </c>
      <c r="F159" s="412">
        <f t="shared" si="0"/>
        <v>0</v>
      </c>
      <c r="G159" s="851">
        <f t="shared" si="2"/>
        <v>0</v>
      </c>
      <c r="H159" s="854">
        <f t="shared" si="3"/>
        <v>0</v>
      </c>
      <c r="I159" s="453">
        <f t="shared" si="4"/>
        <v>0</v>
      </c>
      <c r="J159" s="453"/>
      <c r="K159" s="566"/>
      <c r="L159" s="459"/>
      <c r="M159" s="566"/>
      <c r="N159" s="459"/>
      <c r="O159" s="459"/>
      <c r="P159" s="414"/>
    </row>
    <row r="160" spans="3:16">
      <c r="C160" s="449">
        <f>IF(D96="","-",+C159+1)</f>
        <v>2066</v>
      </c>
      <c r="D160" s="412">
        <f t="shared" si="1"/>
        <v>0</v>
      </c>
      <c r="E160" s="456">
        <f t="shared" si="5"/>
        <v>0</v>
      </c>
      <c r="F160" s="412">
        <f t="shared" si="0"/>
        <v>0</v>
      </c>
      <c r="G160" s="851">
        <f t="shared" si="2"/>
        <v>0</v>
      </c>
      <c r="H160" s="854">
        <f t="shared" si="3"/>
        <v>0</v>
      </c>
      <c r="I160" s="453">
        <f t="shared" si="4"/>
        <v>0</v>
      </c>
      <c r="J160" s="453"/>
      <c r="K160" s="566"/>
      <c r="L160" s="459"/>
      <c r="M160" s="566"/>
      <c r="N160" s="459"/>
      <c r="O160" s="459"/>
      <c r="P160" s="414"/>
    </row>
    <row r="161" spans="1:16" ht="13.5" thickBot="1">
      <c r="C161" s="461">
        <f>IF(D96="","-",+C160+1)</f>
        <v>2067</v>
      </c>
      <c r="D161" s="462">
        <f t="shared" si="1"/>
        <v>0</v>
      </c>
      <c r="E161" s="463">
        <f t="shared" si="5"/>
        <v>0</v>
      </c>
      <c r="F161" s="462">
        <f t="shared" si="0"/>
        <v>0</v>
      </c>
      <c r="G161" s="861">
        <f t="shared" si="2"/>
        <v>0</v>
      </c>
      <c r="H161" s="861">
        <f t="shared" si="3"/>
        <v>0</v>
      </c>
      <c r="I161" s="465">
        <f t="shared" si="4"/>
        <v>0</v>
      </c>
      <c r="J161" s="453"/>
      <c r="K161" s="567"/>
      <c r="L161" s="467"/>
      <c r="M161" s="567"/>
      <c r="N161" s="467"/>
      <c r="O161" s="467"/>
      <c r="P161" s="414"/>
    </row>
    <row r="162" spans="1:16">
      <c r="C162" s="412" t="s">
        <v>288</v>
      </c>
      <c r="D162" s="832"/>
      <c r="E162" s="832">
        <f>SUM(E102:E161)</f>
        <v>13789271.550000001</v>
      </c>
      <c r="F162" s="832"/>
      <c r="G162" s="832">
        <f>SUM(G102:G161)</f>
        <v>44651368.535544716</v>
      </c>
      <c r="H162" s="832">
        <f>SUM(H102:H161)</f>
        <v>44651368.535544716</v>
      </c>
      <c r="I162" s="832">
        <f>SUM(I102:I161)</f>
        <v>0</v>
      </c>
      <c r="J162" s="832"/>
      <c r="K162" s="832"/>
      <c r="L162" s="832"/>
      <c r="M162" s="832"/>
      <c r="N162" s="832"/>
      <c r="O162" s="4"/>
      <c r="P162" s="832"/>
    </row>
    <row r="163" spans="1:16">
      <c r="D163" s="67"/>
      <c r="E163" s="4"/>
      <c r="F163" s="4"/>
      <c r="G163" s="4"/>
      <c r="H163" s="831"/>
      <c r="I163" s="831"/>
      <c r="J163" s="832"/>
      <c r="K163" s="831"/>
      <c r="L163" s="831"/>
      <c r="M163" s="831"/>
      <c r="N163" s="831"/>
      <c r="O163" s="4"/>
      <c r="P163" s="832"/>
    </row>
    <row r="164" spans="1:16">
      <c r="C164" s="4" t="s">
        <v>601</v>
      </c>
      <c r="D164" s="67"/>
      <c r="E164" s="4"/>
      <c r="F164" s="4"/>
      <c r="G164" s="4"/>
      <c r="H164" s="831"/>
      <c r="I164" s="831"/>
      <c r="J164" s="832"/>
      <c r="K164" s="831"/>
      <c r="L164" s="831"/>
      <c r="M164" s="831"/>
      <c r="N164" s="831"/>
      <c r="O164" s="4"/>
      <c r="P164" s="832"/>
    </row>
    <row r="165" spans="1:16">
      <c r="D165" s="67"/>
      <c r="E165" s="4"/>
      <c r="F165" s="4"/>
      <c r="G165" s="4"/>
      <c r="H165" s="831"/>
      <c r="I165" s="831"/>
      <c r="J165" s="832"/>
      <c r="K165" s="831"/>
      <c r="L165" s="831"/>
      <c r="M165" s="831"/>
      <c r="N165" s="831"/>
      <c r="O165" s="4"/>
      <c r="P165" s="832"/>
    </row>
    <row r="166" spans="1:16">
      <c r="C166" s="4" t="s">
        <v>602</v>
      </c>
      <c r="D166" s="412"/>
      <c r="E166" s="412"/>
      <c r="F166" s="412"/>
      <c r="G166" s="832"/>
      <c r="H166" s="832"/>
      <c r="I166" s="414"/>
      <c r="J166" s="414"/>
      <c r="K166" s="414"/>
      <c r="L166" s="414"/>
      <c r="M166" s="414"/>
      <c r="N166" s="414"/>
      <c r="O166" s="4"/>
      <c r="P166" s="414"/>
    </row>
    <row r="167" spans="1:16">
      <c r="C167" s="4" t="s">
        <v>476</v>
      </c>
      <c r="D167" s="412"/>
      <c r="E167" s="412"/>
      <c r="F167" s="412"/>
      <c r="G167" s="832"/>
      <c r="H167" s="832"/>
      <c r="I167" s="414"/>
      <c r="J167" s="414"/>
      <c r="K167" s="414"/>
      <c r="L167" s="414"/>
      <c r="M167" s="414"/>
      <c r="N167" s="414"/>
      <c r="O167" s="4"/>
      <c r="P167" s="414"/>
    </row>
    <row r="168" spans="1:16">
      <c r="C168" s="4" t="s">
        <v>289</v>
      </c>
      <c r="D168" s="412"/>
      <c r="E168" s="412"/>
      <c r="F168" s="412"/>
      <c r="G168" s="832"/>
      <c r="H168" s="832"/>
      <c r="I168" s="414"/>
      <c r="J168" s="414"/>
      <c r="K168" s="414"/>
      <c r="L168" s="414"/>
      <c r="M168" s="414"/>
      <c r="N168" s="414"/>
      <c r="O168" s="4"/>
      <c r="P168" s="414"/>
    </row>
    <row r="169" spans="1:16">
      <c r="C169" s="413"/>
      <c r="D169" s="412"/>
      <c r="E169" s="412"/>
      <c r="F169" s="412"/>
      <c r="G169" s="832"/>
      <c r="H169" s="832"/>
      <c r="I169" s="414"/>
      <c r="J169" s="414"/>
      <c r="K169" s="414"/>
      <c r="L169" s="414"/>
      <c r="M169" s="414"/>
      <c r="N169" s="414"/>
      <c r="O169" s="4"/>
      <c r="P169" s="414"/>
    </row>
    <row r="170" spans="1:16">
      <c r="C170" s="1279" t="s">
        <v>460</v>
      </c>
      <c r="D170" s="1279"/>
      <c r="E170" s="1279"/>
      <c r="F170" s="1279"/>
      <c r="G170" s="1279"/>
      <c r="H170" s="1279"/>
      <c r="I170" s="1279"/>
      <c r="J170" s="1279"/>
      <c r="K170" s="1279"/>
      <c r="L170" s="1279"/>
      <c r="M170" s="1279"/>
      <c r="N170" s="1279"/>
      <c r="O170" s="1279"/>
      <c r="P170" s="4"/>
    </row>
    <row r="171" spans="1:16">
      <c r="C171" s="1279"/>
      <c r="D171" s="1279"/>
      <c r="E171" s="1279"/>
      <c r="F171" s="1279"/>
      <c r="G171" s="1279"/>
      <c r="H171" s="1279"/>
      <c r="I171" s="1279"/>
      <c r="J171" s="1279"/>
      <c r="K171" s="1279"/>
      <c r="L171" s="1279"/>
      <c r="M171" s="1279"/>
      <c r="N171" s="1279"/>
      <c r="O171" s="1279"/>
      <c r="P171" s="4"/>
    </row>
    <row r="172" spans="1:16">
      <c r="D172" s="1"/>
      <c r="H172" s="862"/>
      <c r="P172" s="4"/>
    </row>
    <row r="173" spans="1:16" ht="20.25">
      <c r="A173" s="352" t="s">
        <v>929</v>
      </c>
      <c r="B173" s="4"/>
      <c r="C173" s="4"/>
      <c r="D173" s="67"/>
      <c r="E173" s="4"/>
      <c r="F173" s="394"/>
      <c r="G173" s="4"/>
      <c r="H173" s="831"/>
      <c r="K173" s="353"/>
      <c r="L173" s="353"/>
      <c r="M173" s="353"/>
      <c r="N173" s="353" t="str">
        <f>"Page "&amp;SUM(P$6:P173)&amp;" of "</f>
        <v xml:space="preserve">Page 3 of </v>
      </c>
      <c r="O173" s="354">
        <f>COUNT(P$6:P$59606)</f>
        <v>18</v>
      </c>
      <c r="P173" s="408">
        <v>1</v>
      </c>
    </row>
    <row r="174" spans="1:16">
      <c r="B174" s="4"/>
      <c r="C174" s="4"/>
      <c r="D174" s="67"/>
      <c r="E174" s="4"/>
      <c r="F174" s="4"/>
      <c r="G174" s="4"/>
      <c r="H174" s="831"/>
      <c r="I174" s="4"/>
      <c r="J174" s="4"/>
      <c r="K174" s="4"/>
      <c r="L174" s="4"/>
      <c r="M174" s="4"/>
      <c r="N174" s="4"/>
      <c r="O174" s="4"/>
      <c r="P174" s="4"/>
    </row>
    <row r="175" spans="1:16" ht="18">
      <c r="B175" s="355" t="s">
        <v>174</v>
      </c>
      <c r="C175" s="415" t="s">
        <v>290</v>
      </c>
      <c r="D175" s="67"/>
      <c r="E175" s="4"/>
      <c r="F175" s="4"/>
      <c r="G175" s="4"/>
      <c r="H175" s="831"/>
      <c r="I175" s="831"/>
      <c r="J175" s="832"/>
      <c r="K175" s="831"/>
      <c r="L175" s="831"/>
      <c r="M175" s="831"/>
      <c r="N175" s="831"/>
      <c r="O175" s="4"/>
      <c r="P175" s="832"/>
    </row>
    <row r="176" spans="1:16" ht="18.75">
      <c r="B176" s="355"/>
      <c r="C176" s="11"/>
      <c r="D176" s="67"/>
      <c r="E176" s="4"/>
      <c r="F176" s="4"/>
      <c r="G176" s="4"/>
      <c r="H176" s="831"/>
      <c r="I176" s="831"/>
      <c r="J176" s="832"/>
      <c r="K176" s="831"/>
      <c r="L176" s="831"/>
      <c r="M176" s="831"/>
      <c r="N176" s="831"/>
      <c r="O176" s="4"/>
      <c r="P176" s="832"/>
    </row>
    <row r="177" spans="1:16" ht="18.75">
      <c r="B177" s="355"/>
      <c r="C177" s="11" t="s">
        <v>291</v>
      </c>
      <c r="D177" s="67"/>
      <c r="E177" s="4"/>
      <c r="F177" s="4"/>
      <c r="G177" s="4"/>
      <c r="H177" s="831"/>
      <c r="I177" s="831"/>
      <c r="J177" s="832"/>
      <c r="K177" s="831"/>
      <c r="L177" s="831"/>
      <c r="M177" s="831"/>
      <c r="N177" s="831"/>
      <c r="O177" s="4"/>
      <c r="P177" s="832"/>
    </row>
    <row r="178" spans="1:16" ht="15.75" thickBot="1">
      <c r="C178" s="203"/>
      <c r="D178" s="67"/>
      <c r="E178" s="4"/>
      <c r="F178" s="4"/>
      <c r="G178" s="4"/>
      <c r="H178" s="831"/>
      <c r="I178" s="831"/>
      <c r="J178" s="832"/>
      <c r="K178" s="831"/>
      <c r="L178" s="831"/>
      <c r="M178" s="831"/>
      <c r="N178" s="831"/>
      <c r="O178" s="4"/>
      <c r="P178" s="832"/>
    </row>
    <row r="179" spans="1:16" ht="15.75">
      <c r="C179" s="356" t="s">
        <v>292</v>
      </c>
      <c r="D179" s="67"/>
      <c r="E179" s="4"/>
      <c r="F179" s="4"/>
      <c r="G179" s="833"/>
      <c r="H179" s="4" t="s">
        <v>271</v>
      </c>
      <c r="I179" s="4"/>
      <c r="J179" s="4"/>
      <c r="K179" s="416" t="s">
        <v>296</v>
      </c>
      <c r="L179" s="417"/>
      <c r="M179" s="418"/>
      <c r="N179" s="834">
        <f>VLOOKUP(I185,C192:O251,5)</f>
        <v>237577.79603407593</v>
      </c>
      <c r="O179" s="4"/>
      <c r="P179" s="4"/>
    </row>
    <row r="180" spans="1:16" ht="15.75">
      <c r="C180" s="356"/>
      <c r="D180" s="67"/>
      <c r="E180" s="4"/>
      <c r="F180" s="4"/>
      <c r="G180" s="4"/>
      <c r="H180" s="835"/>
      <c r="I180" s="835"/>
      <c r="J180" s="836"/>
      <c r="K180" s="421" t="s">
        <v>297</v>
      </c>
      <c r="L180" s="837"/>
      <c r="M180" s="4"/>
      <c r="N180" s="838">
        <f>VLOOKUP(I185,C192:O251,6)</f>
        <v>237577.79603407593</v>
      </c>
      <c r="O180" s="4"/>
      <c r="P180" s="836"/>
    </row>
    <row r="181" spans="1:16" ht="13.5" thickBot="1">
      <c r="C181" s="422" t="s">
        <v>293</v>
      </c>
      <c r="D181" s="1277" t="s">
        <v>932</v>
      </c>
      <c r="E181" s="1277"/>
      <c r="F181" s="1277"/>
      <c r="G181" s="1277"/>
      <c r="H181" s="831"/>
      <c r="I181" s="831"/>
      <c r="J181" s="832"/>
      <c r="K181" s="839" t="s">
        <v>450</v>
      </c>
      <c r="L181" s="840"/>
      <c r="M181" s="840"/>
      <c r="N181" s="841">
        <f>+N180-N179</f>
        <v>0</v>
      </c>
      <c r="O181" s="4"/>
      <c r="P181" s="832"/>
    </row>
    <row r="182" spans="1:16">
      <c r="C182" s="424"/>
      <c r="D182" s="425"/>
      <c r="E182" s="412"/>
      <c r="F182" s="412"/>
      <c r="G182" s="426"/>
      <c r="H182" s="831"/>
      <c r="I182" s="831"/>
      <c r="J182" s="832"/>
      <c r="K182" s="831"/>
      <c r="L182" s="831"/>
      <c r="M182" s="831"/>
      <c r="N182" s="831"/>
      <c r="O182" s="4"/>
      <c r="P182" s="832"/>
    </row>
    <row r="183" spans="1:16" ht="13.5" thickBot="1">
      <c r="C183" s="424"/>
      <c r="D183" s="4"/>
      <c r="E183" s="426"/>
      <c r="F183" s="426"/>
      <c r="G183" s="426"/>
      <c r="H183" s="426"/>
      <c r="I183" s="426"/>
      <c r="J183" s="426"/>
      <c r="K183" s="426"/>
      <c r="L183" s="426"/>
      <c r="M183" s="426"/>
      <c r="N183" s="426"/>
      <c r="O183" s="4"/>
      <c r="P183" s="426"/>
    </row>
    <row r="184" spans="1:16" ht="13.5" thickBot="1">
      <c r="C184" s="427" t="s">
        <v>294</v>
      </c>
      <c r="D184" s="428"/>
      <c r="E184" s="428"/>
      <c r="F184" s="428"/>
      <c r="G184" s="428"/>
      <c r="H184" s="428"/>
      <c r="I184" s="429"/>
      <c r="K184" s="4"/>
      <c r="L184" s="4"/>
      <c r="M184" s="4"/>
      <c r="N184" s="4"/>
      <c r="O184" s="4"/>
      <c r="P184" s="4"/>
    </row>
    <row r="185" spans="1:16" ht="15">
      <c r="C185" s="430" t="s">
        <v>272</v>
      </c>
      <c r="D185" s="842">
        <v>2476288.83</v>
      </c>
      <c r="E185" s="4" t="s">
        <v>273</v>
      </c>
      <c r="G185" s="67"/>
      <c r="H185" s="67"/>
      <c r="I185" s="431">
        <f>$L$26</f>
        <v>2026</v>
      </c>
      <c r="J185" s="114"/>
      <c r="K185" s="1278" t="s">
        <v>459</v>
      </c>
      <c r="L185" s="1278"/>
      <c r="M185" s="1278"/>
      <c r="N185" s="1278"/>
      <c r="O185" s="1278"/>
      <c r="P185" s="114"/>
    </row>
    <row r="186" spans="1:16">
      <c r="C186" s="430" t="s">
        <v>275</v>
      </c>
      <c r="D186" s="561">
        <v>2011</v>
      </c>
      <c r="E186" s="430" t="s">
        <v>276</v>
      </c>
      <c r="F186" s="67"/>
      <c r="I186" s="564">
        <f>IF(G179="",0,$F$15)</f>
        <v>0</v>
      </c>
      <c r="J186" s="432"/>
      <c r="K186" s="832" t="s">
        <v>459</v>
      </c>
      <c r="P186" s="432"/>
    </row>
    <row r="187" spans="1:16">
      <c r="C187" s="430" t="s">
        <v>277</v>
      </c>
      <c r="D187" s="843">
        <v>12</v>
      </c>
      <c r="E187" s="430" t="s">
        <v>278</v>
      </c>
      <c r="F187" s="67"/>
      <c r="I187" s="433">
        <f>$G$70</f>
        <v>0.1119061905251431</v>
      </c>
      <c r="J187" s="394"/>
      <c r="K187" t="str">
        <f>"          INPUT PROJECTED ARR (WITH &amp; WITHOUT INCENTIVES) FROM EACH PRIOR YEAR"</f>
        <v xml:space="preserve">          INPUT PROJECTED ARR (WITH &amp; WITHOUT INCENTIVES) FROM EACH PRIOR YEAR</v>
      </c>
      <c r="P187" s="394"/>
    </row>
    <row r="188" spans="1:16">
      <c r="C188" s="430" t="s">
        <v>279</v>
      </c>
      <c r="D188" s="434">
        <f>G$79</f>
        <v>39</v>
      </c>
      <c r="E188" s="430" t="s">
        <v>280</v>
      </c>
      <c r="F188" s="67"/>
      <c r="I188" s="433">
        <f>IF(G179="",I187,$G$67)</f>
        <v>0.1119061905251431</v>
      </c>
      <c r="J188" s="394"/>
      <c r="K188" t="s">
        <v>357</v>
      </c>
      <c r="P188" s="394"/>
    </row>
    <row r="189" spans="1:16" ht="13.5" thickBot="1">
      <c r="C189" s="430" t="s">
        <v>281</v>
      </c>
      <c r="D189" s="563" t="s">
        <v>931</v>
      </c>
      <c r="E189" s="435" t="s">
        <v>282</v>
      </c>
      <c r="F189" s="436"/>
      <c r="G189" s="437"/>
      <c r="H189" s="437"/>
      <c r="I189" s="841">
        <f>IF(D185=0,0,D185/D188)</f>
        <v>63494.585384615384</v>
      </c>
      <c r="J189" s="832"/>
      <c r="K189" s="832" t="s">
        <v>363</v>
      </c>
      <c r="L189" s="832"/>
      <c r="M189" s="832"/>
      <c r="N189" s="832"/>
      <c r="O189" s="4"/>
      <c r="P189" s="832"/>
    </row>
    <row r="190" spans="1:16" ht="51">
      <c r="A190" s="322"/>
      <c r="B190" s="322"/>
      <c r="C190" s="438" t="s">
        <v>272</v>
      </c>
      <c r="D190" s="844" t="s">
        <v>283</v>
      </c>
      <c r="E190" s="845" t="s">
        <v>284</v>
      </c>
      <c r="F190" s="844" t="s">
        <v>285</v>
      </c>
      <c r="G190" s="845" t="s">
        <v>356</v>
      </c>
      <c r="H190" s="846" t="s">
        <v>356</v>
      </c>
      <c r="I190" s="438" t="s">
        <v>295</v>
      </c>
      <c r="J190" s="442"/>
      <c r="K190" s="845" t="s">
        <v>365</v>
      </c>
      <c r="L190" s="847"/>
      <c r="M190" s="845" t="s">
        <v>365</v>
      </c>
      <c r="N190" s="847"/>
      <c r="O190" s="847"/>
      <c r="P190" s="443"/>
    </row>
    <row r="191" spans="1:16" ht="13.5" thickBot="1">
      <c r="C191" s="444" t="s">
        <v>177</v>
      </c>
      <c r="D191" s="445" t="s">
        <v>178</v>
      </c>
      <c r="E191" s="444" t="s">
        <v>37</v>
      </c>
      <c r="F191" s="445" t="s">
        <v>178</v>
      </c>
      <c r="G191" s="848" t="s">
        <v>298</v>
      </c>
      <c r="H191" s="849" t="s">
        <v>300</v>
      </c>
      <c r="I191" s="444" t="s">
        <v>389</v>
      </c>
      <c r="J191" s="448"/>
      <c r="K191" s="848" t="s">
        <v>287</v>
      </c>
      <c r="L191" s="850"/>
      <c r="M191" s="848" t="s">
        <v>300</v>
      </c>
      <c r="N191" s="850"/>
      <c r="O191" s="850"/>
      <c r="P191" s="114"/>
    </row>
    <row r="192" spans="1:16">
      <c r="C192" s="449">
        <f>IF(D186= "","-",D186)</f>
        <v>2011</v>
      </c>
      <c r="D192" s="412">
        <f>+D185</f>
        <v>2476288.83</v>
      </c>
      <c r="E192" s="851">
        <f>+I189/12*(12-D187)</f>
        <v>0</v>
      </c>
      <c r="F192" s="412">
        <f t="shared" ref="F192:F251" si="6">+D192-E192</f>
        <v>2476288.83</v>
      </c>
      <c r="G192" s="852">
        <f>+$I$187*((D192+F192)/2)+E192</f>
        <v>277112.04960526369</v>
      </c>
      <c r="H192" s="853">
        <f>+$I$188*((D192+F192)/2)+E192</f>
        <v>277112.04960526369</v>
      </c>
      <c r="I192" s="453">
        <f>+H192-G192</f>
        <v>0</v>
      </c>
      <c r="J192" s="453"/>
      <c r="K192" s="565" t="s">
        <v>114</v>
      </c>
      <c r="L192" s="455"/>
      <c r="M192" s="565" t="s">
        <v>114</v>
      </c>
      <c r="N192" s="455"/>
      <c r="O192" s="455"/>
      <c r="P192" s="414"/>
    </row>
    <row r="193" spans="3:16">
      <c r="C193" s="449">
        <f>IF(D186="","-",+C192+1)</f>
        <v>2012</v>
      </c>
      <c r="D193" s="412">
        <f>F192</f>
        <v>2476288.83</v>
      </c>
      <c r="E193" s="456">
        <f>IF(D193&gt;$I$189,$I$189,D193)</f>
        <v>63494.585384615384</v>
      </c>
      <c r="F193" s="412">
        <f>+D193-E193</f>
        <v>2412794.2446153848</v>
      </c>
      <c r="G193" s="851">
        <f t="shared" ref="G193:G251" si="7">+$I$187*((D193+F193)/2)+E193</f>
        <v>337053.91640519624</v>
      </c>
      <c r="H193" s="854">
        <f t="shared" ref="H193:H251" si="8">+$I$188*((D193+F193)/2)+E193</f>
        <v>337053.91640519624</v>
      </c>
      <c r="I193" s="453">
        <f t="shared" ref="I193:I251" si="9">+H193-G193</f>
        <v>0</v>
      </c>
      <c r="J193" s="453"/>
      <c r="K193" s="863" t="s">
        <v>114</v>
      </c>
      <c r="L193" s="459"/>
      <c r="M193" s="863" t="s">
        <v>114</v>
      </c>
      <c r="N193" s="459"/>
      <c r="O193" s="459"/>
      <c r="P193" s="414"/>
    </row>
    <row r="194" spans="3:16">
      <c r="C194" s="449">
        <f>IF(D186="","-",+C193+1)</f>
        <v>2013</v>
      </c>
      <c r="D194" s="412">
        <f>F193</f>
        <v>2412794.2446153848</v>
      </c>
      <c r="E194" s="456">
        <f t="shared" ref="E194:E251" si="10">IF(D194&gt;$I$189,$I$189,D194)</f>
        <v>63494.585384615384</v>
      </c>
      <c r="F194" s="412">
        <f t="shared" si="6"/>
        <v>2349299.6592307696</v>
      </c>
      <c r="G194" s="851">
        <f t="shared" si="7"/>
        <v>329948.47923583048</v>
      </c>
      <c r="H194" s="854">
        <f t="shared" si="8"/>
        <v>329948.47923583048</v>
      </c>
      <c r="I194" s="453">
        <f t="shared" si="9"/>
        <v>0</v>
      </c>
      <c r="J194" s="453"/>
      <c r="K194" s="863">
        <v>41778</v>
      </c>
      <c r="L194" s="864"/>
      <c r="M194" s="863">
        <v>41778</v>
      </c>
      <c r="N194" s="459"/>
      <c r="O194" s="459"/>
      <c r="P194" s="414"/>
    </row>
    <row r="195" spans="3:16">
      <c r="C195" s="449">
        <f>IF(D186="","-",+C194+1)</f>
        <v>2014</v>
      </c>
      <c r="D195" s="412">
        <f t="shared" ref="D195:D251" si="11">F194</f>
        <v>2349299.6592307696</v>
      </c>
      <c r="E195" s="456">
        <f t="shared" si="10"/>
        <v>63494.585384615384</v>
      </c>
      <c r="F195" s="412">
        <f t="shared" si="6"/>
        <v>2285805.0738461544</v>
      </c>
      <c r="G195" s="851">
        <f t="shared" si="7"/>
        <v>322843.04206646484</v>
      </c>
      <c r="H195" s="854">
        <f t="shared" si="8"/>
        <v>322843.04206646484</v>
      </c>
      <c r="I195" s="453">
        <f t="shared" si="9"/>
        <v>0</v>
      </c>
      <c r="J195" s="453"/>
      <c r="K195" s="863">
        <v>36470</v>
      </c>
      <c r="L195" s="459"/>
      <c r="M195" s="863">
        <v>36470</v>
      </c>
      <c r="N195" s="459"/>
      <c r="O195" s="459"/>
      <c r="P195" s="414"/>
    </row>
    <row r="196" spans="3:16">
      <c r="C196" s="449">
        <f>IF(D186="","-",+C195+1)</f>
        <v>2015</v>
      </c>
      <c r="D196" s="412">
        <f t="shared" si="11"/>
        <v>2285805.0738461544</v>
      </c>
      <c r="E196" s="456">
        <f t="shared" si="10"/>
        <v>63494.585384615384</v>
      </c>
      <c r="F196" s="412">
        <f t="shared" si="6"/>
        <v>2222310.4884615391</v>
      </c>
      <c r="G196" s="851">
        <f t="shared" si="7"/>
        <v>315737.60489709902</v>
      </c>
      <c r="H196" s="854">
        <f t="shared" si="8"/>
        <v>315737.60489709902</v>
      </c>
      <c r="I196" s="453">
        <f t="shared" si="9"/>
        <v>0</v>
      </c>
      <c r="J196" s="453"/>
      <c r="K196" s="566">
        <v>36769</v>
      </c>
      <c r="L196" s="459"/>
      <c r="M196" s="566">
        <v>36769</v>
      </c>
      <c r="N196" s="459"/>
      <c r="O196" s="459"/>
      <c r="P196" s="414"/>
    </row>
    <row r="197" spans="3:16">
      <c r="C197" s="449">
        <f>IF(D186="","-",+C196+1)</f>
        <v>2016</v>
      </c>
      <c r="D197" s="412">
        <f t="shared" si="11"/>
        <v>2222310.4884615391</v>
      </c>
      <c r="E197" s="456">
        <f t="shared" si="10"/>
        <v>63494.585384615384</v>
      </c>
      <c r="F197" s="412">
        <f t="shared" si="6"/>
        <v>2158815.9030769239</v>
      </c>
      <c r="G197" s="851">
        <f t="shared" si="7"/>
        <v>308632.16772773338</v>
      </c>
      <c r="H197" s="854">
        <f t="shared" si="8"/>
        <v>308632.16772773338</v>
      </c>
      <c r="I197" s="453">
        <f t="shared" si="9"/>
        <v>0</v>
      </c>
      <c r="J197" s="453"/>
      <c r="K197" s="566">
        <v>35303</v>
      </c>
      <c r="L197" s="459"/>
      <c r="M197" s="566">
        <v>35303</v>
      </c>
      <c r="N197" s="459"/>
      <c r="O197" s="459"/>
      <c r="P197" s="414"/>
    </row>
    <row r="198" spans="3:16">
      <c r="C198" s="449">
        <f>IF(D186="","-",+C197+1)</f>
        <v>2017</v>
      </c>
      <c r="D198" s="412">
        <f t="shared" si="11"/>
        <v>2158815.9030769239</v>
      </c>
      <c r="E198" s="456">
        <f t="shared" si="10"/>
        <v>63494.585384615384</v>
      </c>
      <c r="F198" s="412">
        <f t="shared" si="6"/>
        <v>2095321.3176923085</v>
      </c>
      <c r="G198" s="851">
        <f t="shared" si="7"/>
        <v>301526.73055836762</v>
      </c>
      <c r="H198" s="854">
        <f t="shared" si="8"/>
        <v>301526.73055836762</v>
      </c>
      <c r="I198" s="453">
        <f t="shared" si="9"/>
        <v>0</v>
      </c>
      <c r="J198" s="453"/>
      <c r="K198" s="566">
        <v>36769</v>
      </c>
      <c r="L198" s="459"/>
      <c r="M198" s="566">
        <v>36769</v>
      </c>
      <c r="N198" s="459"/>
      <c r="O198" s="459"/>
      <c r="P198" s="414"/>
    </row>
    <row r="199" spans="3:16">
      <c r="C199" s="878">
        <f>IF(D186="","-",+C198+1)</f>
        <v>2018</v>
      </c>
      <c r="D199" s="856">
        <f t="shared" si="11"/>
        <v>2095321.3176923085</v>
      </c>
      <c r="E199" s="857">
        <f t="shared" si="10"/>
        <v>63494.585384615384</v>
      </c>
      <c r="F199" s="856">
        <f t="shared" si="6"/>
        <v>2031826.732307693</v>
      </c>
      <c r="G199" s="858">
        <f t="shared" si="7"/>
        <v>294421.29338900192</v>
      </c>
      <c r="H199" s="859">
        <f t="shared" si="8"/>
        <v>294421.29338900192</v>
      </c>
      <c r="I199" s="865">
        <f t="shared" si="9"/>
        <v>0</v>
      </c>
      <c r="J199" s="453"/>
      <c r="K199" s="566">
        <v>279967</v>
      </c>
      <c r="L199" s="459"/>
      <c r="M199" s="566">
        <v>279967</v>
      </c>
      <c r="N199" s="459"/>
      <c r="O199" s="459"/>
      <c r="P199" s="414"/>
    </row>
    <row r="200" spans="3:16">
      <c r="C200" s="449">
        <f>IF(D191="","-",+C199+1)</f>
        <v>2019</v>
      </c>
      <c r="D200" s="412">
        <f t="shared" si="11"/>
        <v>2031826.732307693</v>
      </c>
      <c r="E200" s="456">
        <f t="shared" si="10"/>
        <v>63494.585384615384</v>
      </c>
      <c r="F200" s="412">
        <f t="shared" si="6"/>
        <v>1968332.1469230775</v>
      </c>
      <c r="G200" s="851">
        <f t="shared" si="7"/>
        <v>287315.8562196361</v>
      </c>
      <c r="H200" s="854">
        <f t="shared" si="8"/>
        <v>287315.8562196361</v>
      </c>
      <c r="I200" s="453">
        <f t="shared" si="9"/>
        <v>0</v>
      </c>
      <c r="J200" s="453"/>
      <c r="K200" s="566">
        <v>289107</v>
      </c>
      <c r="L200" s="459"/>
      <c r="M200" s="566">
        <v>289107</v>
      </c>
      <c r="N200" s="459"/>
      <c r="O200" s="459"/>
      <c r="P200" s="414"/>
    </row>
    <row r="201" spans="3:16">
      <c r="C201" s="449">
        <f>IF(D191="","-",+C200+1)</f>
        <v>2020</v>
      </c>
      <c r="D201" s="412">
        <f t="shared" si="11"/>
        <v>1968332.1469230775</v>
      </c>
      <c r="E201" s="456">
        <f t="shared" si="10"/>
        <v>63494.585384615384</v>
      </c>
      <c r="F201" s="412">
        <f t="shared" si="6"/>
        <v>1904837.5615384621</v>
      </c>
      <c r="G201" s="851">
        <f t="shared" si="7"/>
        <v>280210.4190502704</v>
      </c>
      <c r="H201" s="854">
        <f t="shared" si="8"/>
        <v>280210.4190502704</v>
      </c>
      <c r="I201" s="453">
        <f t="shared" si="9"/>
        <v>0</v>
      </c>
      <c r="J201" s="453"/>
      <c r="K201" s="566">
        <v>263834.05915473064</v>
      </c>
      <c r="L201" s="459"/>
      <c r="M201" s="566">
        <v>263834.05915473064</v>
      </c>
      <c r="N201" s="459"/>
      <c r="O201" s="459"/>
      <c r="P201" s="414"/>
    </row>
    <row r="202" spans="3:16">
      <c r="C202" s="449">
        <f>IF(D186="","-",+C201+1)</f>
        <v>2021</v>
      </c>
      <c r="D202" s="412">
        <f t="shared" si="11"/>
        <v>1904837.5615384621</v>
      </c>
      <c r="E202" s="456">
        <f t="shared" si="10"/>
        <v>63494.585384615384</v>
      </c>
      <c r="F202" s="412">
        <f t="shared" si="6"/>
        <v>1841342.9761538466</v>
      </c>
      <c r="G202" s="851">
        <f t="shared" si="7"/>
        <v>273104.98188090464</v>
      </c>
      <c r="H202" s="854">
        <f t="shared" si="8"/>
        <v>273104.98188090464</v>
      </c>
      <c r="I202" s="453">
        <f t="shared" si="9"/>
        <v>0</v>
      </c>
      <c r="J202" s="453"/>
      <c r="K202" s="566">
        <v>256948.46047491327</v>
      </c>
      <c r="L202" s="459"/>
      <c r="M202" s="566">
        <v>256948.46047491327</v>
      </c>
      <c r="N202" s="459"/>
      <c r="O202" s="459"/>
      <c r="P202" s="414"/>
    </row>
    <row r="203" spans="3:16">
      <c r="C203" s="449">
        <f>IF(D194="","-",+C202+1)</f>
        <v>2022</v>
      </c>
      <c r="D203" s="412">
        <f t="shared" si="11"/>
        <v>1841342.9761538466</v>
      </c>
      <c r="E203" s="456">
        <f t="shared" si="10"/>
        <v>63494.585384615384</v>
      </c>
      <c r="F203" s="412">
        <f t="shared" si="6"/>
        <v>1777848.3907692311</v>
      </c>
      <c r="G203" s="851">
        <f t="shared" si="7"/>
        <v>265999.54471153894</v>
      </c>
      <c r="H203" s="854">
        <f t="shared" si="8"/>
        <v>265999.54471153894</v>
      </c>
      <c r="I203" s="453">
        <f t="shared" si="9"/>
        <v>0</v>
      </c>
      <c r="J203" s="453"/>
      <c r="K203" s="566">
        <v>252846.28381541997</v>
      </c>
      <c r="L203" s="459"/>
      <c r="M203" s="566">
        <v>252846.28381541997</v>
      </c>
      <c r="N203" s="459"/>
      <c r="O203" s="459"/>
      <c r="P203" s="414"/>
    </row>
    <row r="204" spans="3:16">
      <c r="C204" s="449">
        <f>IF(D194="","-",+C203+1)</f>
        <v>2023</v>
      </c>
      <c r="D204" s="412">
        <f t="shared" si="11"/>
        <v>1777848.3907692311</v>
      </c>
      <c r="E204" s="456">
        <f t="shared" si="10"/>
        <v>63494.585384615384</v>
      </c>
      <c r="F204" s="412">
        <f t="shared" si="6"/>
        <v>1714353.8053846157</v>
      </c>
      <c r="G204" s="851">
        <f t="shared" si="7"/>
        <v>258894.10754217312</v>
      </c>
      <c r="H204" s="854">
        <f t="shared" si="8"/>
        <v>258894.10754217312</v>
      </c>
      <c r="I204" s="453">
        <f t="shared" si="9"/>
        <v>0</v>
      </c>
      <c r="J204" s="453"/>
      <c r="K204" s="566">
        <v>257953.51092247805</v>
      </c>
      <c r="L204" s="459"/>
      <c r="M204" s="566">
        <v>257953.51092247805</v>
      </c>
      <c r="N204" s="460"/>
      <c r="O204" s="459"/>
      <c r="P204" s="414"/>
    </row>
    <row r="205" spans="3:16">
      <c r="C205" s="449">
        <f>IF(D186="","-",+C204+1)</f>
        <v>2024</v>
      </c>
      <c r="D205" s="412">
        <f t="shared" si="11"/>
        <v>1714353.8053846157</v>
      </c>
      <c r="E205" s="456">
        <f t="shared" si="10"/>
        <v>63494.585384615384</v>
      </c>
      <c r="F205" s="412">
        <f t="shared" si="6"/>
        <v>1650859.2200000002</v>
      </c>
      <c r="G205" s="851">
        <f t="shared" si="7"/>
        <v>251788.67037280742</v>
      </c>
      <c r="H205" s="854">
        <f t="shared" si="8"/>
        <v>251788.67037280742</v>
      </c>
      <c r="I205" s="453">
        <f t="shared" si="9"/>
        <v>0</v>
      </c>
      <c r="J205" s="453"/>
      <c r="K205" s="566">
        <v>251536.31629517046</v>
      </c>
      <c r="L205" s="459"/>
      <c r="M205" s="566">
        <v>251536.31629517046</v>
      </c>
      <c r="N205" s="459"/>
      <c r="O205" s="459"/>
      <c r="P205" s="414"/>
    </row>
    <row r="206" spans="3:16">
      <c r="C206" s="449">
        <f>IF(D186="","-",+C205+1)</f>
        <v>2025</v>
      </c>
      <c r="D206" s="412">
        <f t="shared" si="11"/>
        <v>1650859.2200000002</v>
      </c>
      <c r="E206" s="456">
        <f t="shared" si="10"/>
        <v>63494.585384615384</v>
      </c>
      <c r="F206" s="412">
        <f t="shared" si="6"/>
        <v>1587364.6346153847</v>
      </c>
      <c r="G206" s="851">
        <f t="shared" si="7"/>
        <v>244683.23320344163</v>
      </c>
      <c r="H206" s="854">
        <f t="shared" si="8"/>
        <v>244683.23320344163</v>
      </c>
      <c r="I206" s="453">
        <f t="shared" si="9"/>
        <v>0</v>
      </c>
      <c r="J206" s="453"/>
      <c r="K206" s="566">
        <v>245343.92585185828</v>
      </c>
      <c r="L206" s="459"/>
      <c r="M206" s="566">
        <v>245343.92585185828</v>
      </c>
      <c r="N206" s="459"/>
      <c r="O206" s="459"/>
      <c r="P206" s="414"/>
    </row>
    <row r="207" spans="3:16">
      <c r="C207" s="855">
        <f>IF(D186="","-",+C206+1)</f>
        <v>2026</v>
      </c>
      <c r="D207" s="412">
        <f t="shared" si="11"/>
        <v>1587364.6346153847</v>
      </c>
      <c r="E207" s="456">
        <f t="shared" si="10"/>
        <v>63494.585384615384</v>
      </c>
      <c r="F207" s="412">
        <f t="shared" si="6"/>
        <v>1523870.0492307693</v>
      </c>
      <c r="G207" s="851">
        <f t="shared" si="7"/>
        <v>237577.79603407593</v>
      </c>
      <c r="H207" s="854">
        <f t="shared" si="8"/>
        <v>237577.79603407593</v>
      </c>
      <c r="I207" s="453">
        <f t="shared" si="9"/>
        <v>0</v>
      </c>
      <c r="J207" s="453"/>
      <c r="K207" s="566"/>
      <c r="L207" s="459"/>
      <c r="M207" s="566"/>
      <c r="N207" s="459"/>
      <c r="O207" s="459"/>
      <c r="P207" s="414"/>
    </row>
    <row r="208" spans="3:16">
      <c r="C208" s="449">
        <f>IF(D186="","-",+C207+1)</f>
        <v>2027</v>
      </c>
      <c r="D208" s="412">
        <f t="shared" si="11"/>
        <v>1523870.0492307693</v>
      </c>
      <c r="E208" s="456">
        <f t="shared" si="10"/>
        <v>63494.585384615384</v>
      </c>
      <c r="F208" s="412">
        <f t="shared" si="6"/>
        <v>1460375.4638461538</v>
      </c>
      <c r="G208" s="851">
        <f t="shared" si="7"/>
        <v>230472.35886471014</v>
      </c>
      <c r="H208" s="854">
        <f t="shared" si="8"/>
        <v>230472.35886471014</v>
      </c>
      <c r="I208" s="453">
        <f t="shared" si="9"/>
        <v>0</v>
      </c>
      <c r="J208" s="453"/>
      <c r="K208" s="566"/>
      <c r="L208" s="459"/>
      <c r="M208" s="566"/>
      <c r="N208" s="459"/>
      <c r="O208" s="459"/>
      <c r="P208" s="414"/>
    </row>
    <row r="209" spans="3:16">
      <c r="C209" s="449">
        <f>IF(D186="","-",+C208+1)</f>
        <v>2028</v>
      </c>
      <c r="D209" s="412">
        <f t="shared" si="11"/>
        <v>1460375.4638461538</v>
      </c>
      <c r="E209" s="456">
        <f t="shared" si="10"/>
        <v>63494.585384615384</v>
      </c>
      <c r="F209" s="412">
        <f t="shared" si="6"/>
        <v>1396880.8784615383</v>
      </c>
      <c r="G209" s="851">
        <f t="shared" si="7"/>
        <v>223366.92169534444</v>
      </c>
      <c r="H209" s="854">
        <f t="shared" si="8"/>
        <v>223366.92169534444</v>
      </c>
      <c r="I209" s="453">
        <f t="shared" si="9"/>
        <v>0</v>
      </c>
      <c r="J209" s="453"/>
      <c r="K209" s="566"/>
      <c r="L209" s="459"/>
      <c r="M209" s="566"/>
      <c r="N209" s="459"/>
      <c r="O209" s="459"/>
      <c r="P209" s="414"/>
    </row>
    <row r="210" spans="3:16">
      <c r="C210" s="449">
        <f>IF(D186="","-",+C209+1)</f>
        <v>2029</v>
      </c>
      <c r="D210" s="412">
        <f t="shared" si="11"/>
        <v>1396880.8784615383</v>
      </c>
      <c r="E210" s="456">
        <f t="shared" si="10"/>
        <v>63494.585384615384</v>
      </c>
      <c r="F210" s="412">
        <f t="shared" si="6"/>
        <v>1333386.2930769229</v>
      </c>
      <c r="G210" s="851">
        <f t="shared" si="7"/>
        <v>216261.48452597865</v>
      </c>
      <c r="H210" s="854">
        <f t="shared" si="8"/>
        <v>216261.48452597865</v>
      </c>
      <c r="I210" s="453">
        <f t="shared" si="9"/>
        <v>0</v>
      </c>
      <c r="J210" s="453"/>
      <c r="K210" s="566"/>
      <c r="L210" s="459"/>
      <c r="M210" s="566"/>
      <c r="N210" s="459"/>
      <c r="O210" s="459"/>
      <c r="P210" s="414"/>
    </row>
    <row r="211" spans="3:16">
      <c r="C211" s="449">
        <f>IF(D186="","-",+C210+1)</f>
        <v>2030</v>
      </c>
      <c r="D211" s="412">
        <f t="shared" si="11"/>
        <v>1333386.2930769229</v>
      </c>
      <c r="E211" s="456">
        <f t="shared" si="10"/>
        <v>63494.585384615384</v>
      </c>
      <c r="F211" s="412">
        <f t="shared" si="6"/>
        <v>1269891.7076923074</v>
      </c>
      <c r="G211" s="851">
        <f t="shared" si="7"/>
        <v>209156.04735661295</v>
      </c>
      <c r="H211" s="854">
        <f t="shared" si="8"/>
        <v>209156.04735661295</v>
      </c>
      <c r="I211" s="453">
        <f t="shared" si="9"/>
        <v>0</v>
      </c>
      <c r="J211" s="453"/>
      <c r="K211" s="566"/>
      <c r="L211" s="459"/>
      <c r="M211" s="566"/>
      <c r="N211" s="459"/>
      <c r="O211" s="459"/>
      <c r="P211" s="414"/>
    </row>
    <row r="212" spans="3:16">
      <c r="C212" s="449">
        <f>IF(D186="","-",+C211+1)</f>
        <v>2031</v>
      </c>
      <c r="D212" s="412">
        <f t="shared" si="11"/>
        <v>1269891.7076923074</v>
      </c>
      <c r="E212" s="456">
        <f t="shared" si="10"/>
        <v>63494.585384615384</v>
      </c>
      <c r="F212" s="412">
        <f t="shared" si="6"/>
        <v>1206397.122307692</v>
      </c>
      <c r="G212" s="851">
        <f t="shared" si="7"/>
        <v>202050.61018724716</v>
      </c>
      <c r="H212" s="854">
        <f t="shared" si="8"/>
        <v>202050.61018724716</v>
      </c>
      <c r="I212" s="453">
        <f t="shared" si="9"/>
        <v>0</v>
      </c>
      <c r="J212" s="453"/>
      <c r="K212" s="566"/>
      <c r="L212" s="459"/>
      <c r="M212" s="566"/>
      <c r="N212" s="459"/>
      <c r="O212" s="459"/>
      <c r="P212" s="414"/>
    </row>
    <row r="213" spans="3:16">
      <c r="C213" s="449">
        <f>IF(D186="","-",+C212+1)</f>
        <v>2032</v>
      </c>
      <c r="D213" s="412">
        <f t="shared" si="11"/>
        <v>1206397.122307692</v>
      </c>
      <c r="E213" s="456">
        <f t="shared" si="10"/>
        <v>63494.585384615384</v>
      </c>
      <c r="F213" s="412">
        <f t="shared" si="6"/>
        <v>1142902.5369230765</v>
      </c>
      <c r="G213" s="851">
        <f t="shared" si="7"/>
        <v>194945.17301788146</v>
      </c>
      <c r="H213" s="854">
        <f t="shared" si="8"/>
        <v>194945.17301788146</v>
      </c>
      <c r="I213" s="453">
        <f t="shared" si="9"/>
        <v>0</v>
      </c>
      <c r="J213" s="453"/>
      <c r="K213" s="566"/>
      <c r="L213" s="459"/>
      <c r="M213" s="566"/>
      <c r="N213" s="459"/>
      <c r="O213" s="459"/>
      <c r="P213" s="414"/>
    </row>
    <row r="214" spans="3:16">
      <c r="C214" s="449">
        <f>IF(D186="","-",+C213+1)</f>
        <v>2033</v>
      </c>
      <c r="D214" s="412">
        <f t="shared" si="11"/>
        <v>1142902.5369230765</v>
      </c>
      <c r="E214" s="456">
        <f t="shared" si="10"/>
        <v>63494.585384615384</v>
      </c>
      <c r="F214" s="412">
        <f t="shared" si="6"/>
        <v>1079407.951538461</v>
      </c>
      <c r="G214" s="851">
        <f t="shared" si="7"/>
        <v>187839.7358485157</v>
      </c>
      <c r="H214" s="854">
        <f t="shared" si="8"/>
        <v>187839.7358485157</v>
      </c>
      <c r="I214" s="453">
        <f t="shared" si="9"/>
        <v>0</v>
      </c>
      <c r="J214" s="453"/>
      <c r="K214" s="566"/>
      <c r="L214" s="459"/>
      <c r="M214" s="566"/>
      <c r="N214" s="459"/>
      <c r="O214" s="459"/>
      <c r="P214" s="414"/>
    </row>
    <row r="215" spans="3:16">
      <c r="C215" s="449">
        <f>IF(D186="","-",+C214+1)</f>
        <v>2034</v>
      </c>
      <c r="D215" s="412">
        <f t="shared" si="11"/>
        <v>1079407.951538461</v>
      </c>
      <c r="E215" s="456">
        <f t="shared" si="10"/>
        <v>63494.585384615384</v>
      </c>
      <c r="F215" s="412">
        <f t="shared" si="6"/>
        <v>1015913.3661538457</v>
      </c>
      <c r="G215" s="851">
        <f t="shared" si="7"/>
        <v>180734.29867914997</v>
      </c>
      <c r="H215" s="854">
        <f t="shared" si="8"/>
        <v>180734.29867914997</v>
      </c>
      <c r="I215" s="453">
        <f t="shared" si="9"/>
        <v>0</v>
      </c>
      <c r="J215" s="453"/>
      <c r="K215" s="566"/>
      <c r="L215" s="459"/>
      <c r="M215" s="566"/>
      <c r="N215" s="459"/>
      <c r="O215" s="459"/>
      <c r="P215" s="414"/>
    </row>
    <row r="216" spans="3:16">
      <c r="C216" s="449">
        <f>IF(D186="","-",+C215+1)</f>
        <v>2035</v>
      </c>
      <c r="D216" s="412">
        <f t="shared" si="11"/>
        <v>1015913.3661538457</v>
      </c>
      <c r="E216" s="456">
        <f t="shared" si="10"/>
        <v>63494.585384615384</v>
      </c>
      <c r="F216" s="412">
        <f t="shared" si="6"/>
        <v>952418.78076923033</v>
      </c>
      <c r="G216" s="851">
        <f t="shared" si="7"/>
        <v>173628.86150978424</v>
      </c>
      <c r="H216" s="854">
        <f t="shared" si="8"/>
        <v>173628.86150978424</v>
      </c>
      <c r="I216" s="453">
        <f t="shared" si="9"/>
        <v>0</v>
      </c>
      <c r="J216" s="453"/>
      <c r="K216" s="566"/>
      <c r="L216" s="459"/>
      <c r="M216" s="566"/>
      <c r="N216" s="459"/>
      <c r="O216" s="459"/>
      <c r="P216" s="414"/>
    </row>
    <row r="217" spans="3:16">
      <c r="C217" s="449">
        <f>IF(D186="","-",+C216+1)</f>
        <v>2036</v>
      </c>
      <c r="D217" s="412">
        <f t="shared" si="11"/>
        <v>952418.78076923033</v>
      </c>
      <c r="E217" s="456">
        <f t="shared" si="10"/>
        <v>63494.585384615384</v>
      </c>
      <c r="F217" s="412">
        <f t="shared" si="6"/>
        <v>888924.19538461498</v>
      </c>
      <c r="G217" s="851">
        <f t="shared" si="7"/>
        <v>166523.42434041851</v>
      </c>
      <c r="H217" s="854">
        <f t="shared" si="8"/>
        <v>166523.42434041851</v>
      </c>
      <c r="I217" s="453">
        <f t="shared" si="9"/>
        <v>0</v>
      </c>
      <c r="J217" s="453"/>
      <c r="K217" s="566"/>
      <c r="L217" s="459"/>
      <c r="M217" s="566"/>
      <c r="N217" s="459"/>
      <c r="O217" s="459"/>
      <c r="P217" s="414"/>
    </row>
    <row r="218" spans="3:16">
      <c r="C218" s="449">
        <f>IF(D186="","-",+C217+1)</f>
        <v>2037</v>
      </c>
      <c r="D218" s="412">
        <f t="shared" si="11"/>
        <v>888924.19538461498</v>
      </c>
      <c r="E218" s="456">
        <f t="shared" si="10"/>
        <v>63494.585384615384</v>
      </c>
      <c r="F218" s="412">
        <f t="shared" si="6"/>
        <v>825429.60999999964</v>
      </c>
      <c r="G218" s="851">
        <f t="shared" si="7"/>
        <v>159417.98717105275</v>
      </c>
      <c r="H218" s="854">
        <f t="shared" si="8"/>
        <v>159417.98717105275</v>
      </c>
      <c r="I218" s="453">
        <f t="shared" si="9"/>
        <v>0</v>
      </c>
      <c r="J218" s="453"/>
      <c r="K218" s="566"/>
      <c r="L218" s="459"/>
      <c r="M218" s="566"/>
      <c r="N218" s="459"/>
      <c r="O218" s="459"/>
      <c r="P218" s="414"/>
    </row>
    <row r="219" spans="3:16">
      <c r="C219" s="449">
        <f>IF(D186="","-",+C218+1)</f>
        <v>2038</v>
      </c>
      <c r="D219" s="412">
        <f t="shared" si="11"/>
        <v>825429.60999999964</v>
      </c>
      <c r="E219" s="456">
        <f t="shared" si="10"/>
        <v>63494.585384615384</v>
      </c>
      <c r="F219" s="412">
        <f t="shared" si="6"/>
        <v>761935.02461538429</v>
      </c>
      <c r="G219" s="851">
        <f t="shared" si="7"/>
        <v>152312.55000168705</v>
      </c>
      <c r="H219" s="854">
        <f t="shared" si="8"/>
        <v>152312.55000168705</v>
      </c>
      <c r="I219" s="453">
        <f t="shared" si="9"/>
        <v>0</v>
      </c>
      <c r="J219" s="453"/>
      <c r="K219" s="566"/>
      <c r="L219" s="459"/>
      <c r="M219" s="566"/>
      <c r="N219" s="459"/>
      <c r="O219" s="459"/>
      <c r="P219" s="414"/>
    </row>
    <row r="220" spans="3:16">
      <c r="C220" s="449">
        <f>IF(D186="","-",+C219+1)</f>
        <v>2039</v>
      </c>
      <c r="D220" s="412">
        <f t="shared" si="11"/>
        <v>761935.02461538429</v>
      </c>
      <c r="E220" s="456">
        <f t="shared" si="10"/>
        <v>63494.585384615384</v>
      </c>
      <c r="F220" s="412">
        <f t="shared" si="6"/>
        <v>698440.43923076894</v>
      </c>
      <c r="G220" s="860">
        <f t="shared" si="7"/>
        <v>145207.11283232129</v>
      </c>
      <c r="H220" s="854">
        <f t="shared" si="8"/>
        <v>145207.11283232129</v>
      </c>
      <c r="I220" s="453">
        <f t="shared" si="9"/>
        <v>0</v>
      </c>
      <c r="J220" s="453"/>
      <c r="K220" s="566"/>
      <c r="L220" s="459"/>
      <c r="M220" s="566"/>
      <c r="N220" s="459"/>
      <c r="O220" s="459"/>
      <c r="P220" s="414"/>
    </row>
    <row r="221" spans="3:16">
      <c r="C221" s="449">
        <f>IF(D186="","-",+C220+1)</f>
        <v>2040</v>
      </c>
      <c r="D221" s="412">
        <f t="shared" si="11"/>
        <v>698440.43923076894</v>
      </c>
      <c r="E221" s="456">
        <f t="shared" si="10"/>
        <v>63494.585384615384</v>
      </c>
      <c r="F221" s="412">
        <f t="shared" si="6"/>
        <v>634945.85384615359</v>
      </c>
      <c r="G221" s="851">
        <f t="shared" si="7"/>
        <v>138101.67566295559</v>
      </c>
      <c r="H221" s="854">
        <f t="shared" si="8"/>
        <v>138101.67566295559</v>
      </c>
      <c r="I221" s="453">
        <f t="shared" si="9"/>
        <v>0</v>
      </c>
      <c r="J221" s="453"/>
      <c r="K221" s="566"/>
      <c r="L221" s="459"/>
      <c r="M221" s="566"/>
      <c r="N221" s="459"/>
      <c r="O221" s="459"/>
      <c r="P221" s="414"/>
    </row>
    <row r="222" spans="3:16">
      <c r="C222" s="449">
        <f>IF(D186="","-",+C221+1)</f>
        <v>2041</v>
      </c>
      <c r="D222" s="412">
        <f t="shared" si="11"/>
        <v>634945.85384615359</v>
      </c>
      <c r="E222" s="456">
        <f t="shared" si="10"/>
        <v>63494.585384615384</v>
      </c>
      <c r="F222" s="412">
        <f t="shared" si="6"/>
        <v>571451.26846153825</v>
      </c>
      <c r="G222" s="851">
        <f t="shared" si="7"/>
        <v>130996.23849358983</v>
      </c>
      <c r="H222" s="854">
        <f t="shared" si="8"/>
        <v>130996.23849358983</v>
      </c>
      <c r="I222" s="453">
        <f t="shared" si="9"/>
        <v>0</v>
      </c>
      <c r="J222" s="453"/>
      <c r="K222" s="566"/>
      <c r="L222" s="459"/>
      <c r="M222" s="566"/>
      <c r="N222" s="459"/>
      <c r="O222" s="459"/>
      <c r="P222" s="414"/>
    </row>
    <row r="223" spans="3:16">
      <c r="C223" s="449">
        <f>IF(D186="","-",+C222+1)</f>
        <v>2042</v>
      </c>
      <c r="D223" s="412">
        <f t="shared" si="11"/>
        <v>571451.26846153825</v>
      </c>
      <c r="E223" s="456">
        <f t="shared" si="10"/>
        <v>63494.585384615384</v>
      </c>
      <c r="F223" s="412">
        <f t="shared" si="6"/>
        <v>507956.68307692284</v>
      </c>
      <c r="G223" s="851">
        <f t="shared" si="7"/>
        <v>123890.8013242241</v>
      </c>
      <c r="H223" s="854">
        <f t="shared" si="8"/>
        <v>123890.8013242241</v>
      </c>
      <c r="I223" s="453">
        <f t="shared" si="9"/>
        <v>0</v>
      </c>
      <c r="J223" s="453"/>
      <c r="K223" s="566"/>
      <c r="L223" s="459"/>
      <c r="M223" s="566"/>
      <c r="N223" s="459"/>
      <c r="O223" s="459"/>
      <c r="P223" s="414"/>
    </row>
    <row r="224" spans="3:16">
      <c r="C224" s="449">
        <f>IF(D186="","-",+C223+1)</f>
        <v>2043</v>
      </c>
      <c r="D224" s="412">
        <f t="shared" si="11"/>
        <v>507956.68307692284</v>
      </c>
      <c r="E224" s="456">
        <f t="shared" si="10"/>
        <v>63494.585384615384</v>
      </c>
      <c r="F224" s="412">
        <f t="shared" si="6"/>
        <v>444462.09769230743</v>
      </c>
      <c r="G224" s="851">
        <f t="shared" si="7"/>
        <v>116785.36415485837</v>
      </c>
      <c r="H224" s="854">
        <f t="shared" si="8"/>
        <v>116785.36415485837</v>
      </c>
      <c r="I224" s="453">
        <f t="shared" si="9"/>
        <v>0</v>
      </c>
      <c r="J224" s="453"/>
      <c r="K224" s="566"/>
      <c r="L224" s="459"/>
      <c r="M224" s="566"/>
      <c r="N224" s="459"/>
      <c r="O224" s="459"/>
      <c r="P224" s="414"/>
    </row>
    <row r="225" spans="3:16">
      <c r="C225" s="449">
        <f>IF(D186="","-",+C224+1)</f>
        <v>2044</v>
      </c>
      <c r="D225" s="412">
        <f t="shared" si="11"/>
        <v>444462.09769230743</v>
      </c>
      <c r="E225" s="456">
        <f t="shared" si="10"/>
        <v>63494.585384615384</v>
      </c>
      <c r="F225" s="412">
        <f t="shared" si="6"/>
        <v>380967.51230769203</v>
      </c>
      <c r="G225" s="851">
        <f t="shared" si="7"/>
        <v>109679.92698549264</v>
      </c>
      <c r="H225" s="854">
        <f t="shared" si="8"/>
        <v>109679.92698549264</v>
      </c>
      <c r="I225" s="453">
        <f t="shared" si="9"/>
        <v>0</v>
      </c>
      <c r="J225" s="453"/>
      <c r="K225" s="566"/>
      <c r="L225" s="459"/>
      <c r="M225" s="566"/>
      <c r="N225" s="459"/>
      <c r="O225" s="459"/>
      <c r="P225" s="414"/>
    </row>
    <row r="226" spans="3:16">
      <c r="C226" s="449">
        <f>IF(D186="","-",+C225+1)</f>
        <v>2045</v>
      </c>
      <c r="D226" s="412">
        <f t="shared" si="11"/>
        <v>380967.51230769203</v>
      </c>
      <c r="E226" s="456">
        <f t="shared" si="10"/>
        <v>63494.585384615384</v>
      </c>
      <c r="F226" s="412">
        <f t="shared" si="6"/>
        <v>317472.92692307662</v>
      </c>
      <c r="G226" s="851">
        <f t="shared" si="7"/>
        <v>102574.48981612691</v>
      </c>
      <c r="H226" s="854">
        <f t="shared" si="8"/>
        <v>102574.48981612691</v>
      </c>
      <c r="I226" s="453">
        <f t="shared" si="9"/>
        <v>0</v>
      </c>
      <c r="J226" s="453"/>
      <c r="K226" s="566"/>
      <c r="L226" s="459"/>
      <c r="M226" s="566"/>
      <c r="N226" s="459"/>
      <c r="O226" s="459"/>
      <c r="P226" s="414"/>
    </row>
    <row r="227" spans="3:16">
      <c r="C227" s="449">
        <f>IF(D186="","-",+C226+1)</f>
        <v>2046</v>
      </c>
      <c r="D227" s="412">
        <f t="shared" si="11"/>
        <v>317472.92692307662</v>
      </c>
      <c r="E227" s="456">
        <f t="shared" si="10"/>
        <v>63494.585384615384</v>
      </c>
      <c r="F227" s="412">
        <f t="shared" si="6"/>
        <v>253978.34153846125</v>
      </c>
      <c r="G227" s="851">
        <f t="shared" si="7"/>
        <v>95469.052646761163</v>
      </c>
      <c r="H227" s="854">
        <f t="shared" si="8"/>
        <v>95469.052646761163</v>
      </c>
      <c r="I227" s="453">
        <f t="shared" si="9"/>
        <v>0</v>
      </c>
      <c r="J227" s="453"/>
      <c r="K227" s="566"/>
      <c r="L227" s="459"/>
      <c r="M227" s="566"/>
      <c r="N227" s="459"/>
      <c r="O227" s="459"/>
      <c r="P227" s="414"/>
    </row>
    <row r="228" spans="3:16">
      <c r="C228" s="449">
        <f>IF(D186="","-",+C227+1)</f>
        <v>2047</v>
      </c>
      <c r="D228" s="412">
        <f t="shared" si="11"/>
        <v>253978.34153846125</v>
      </c>
      <c r="E228" s="456">
        <f t="shared" si="10"/>
        <v>63494.585384615384</v>
      </c>
      <c r="F228" s="412">
        <f t="shared" si="6"/>
        <v>190483.75615384587</v>
      </c>
      <c r="G228" s="851">
        <f t="shared" si="7"/>
        <v>88363.615477395419</v>
      </c>
      <c r="H228" s="854">
        <f t="shared" si="8"/>
        <v>88363.615477395419</v>
      </c>
      <c r="I228" s="453">
        <f t="shared" si="9"/>
        <v>0</v>
      </c>
      <c r="J228" s="453"/>
      <c r="K228" s="566"/>
      <c r="L228" s="459"/>
      <c r="M228" s="566"/>
      <c r="N228" s="459"/>
      <c r="O228" s="459"/>
      <c r="P228" s="414"/>
    </row>
    <row r="229" spans="3:16">
      <c r="C229" s="449">
        <f>IF(D186="","-",+C228+1)</f>
        <v>2048</v>
      </c>
      <c r="D229" s="412">
        <f t="shared" si="11"/>
        <v>190483.75615384587</v>
      </c>
      <c r="E229" s="456">
        <f t="shared" si="10"/>
        <v>63494.585384615384</v>
      </c>
      <c r="F229" s="412">
        <f t="shared" si="6"/>
        <v>126989.17076923049</v>
      </c>
      <c r="G229" s="851">
        <f t="shared" si="7"/>
        <v>81258.178308029688</v>
      </c>
      <c r="H229" s="854">
        <f t="shared" si="8"/>
        <v>81258.178308029688</v>
      </c>
      <c r="I229" s="453">
        <f t="shared" si="9"/>
        <v>0</v>
      </c>
      <c r="J229" s="453"/>
      <c r="K229" s="566"/>
      <c r="L229" s="459"/>
      <c r="M229" s="566"/>
      <c r="N229" s="459"/>
      <c r="O229" s="459"/>
      <c r="P229" s="414"/>
    </row>
    <row r="230" spans="3:16">
      <c r="C230" s="449">
        <f>IF(D186="","-",+C229+1)</f>
        <v>2049</v>
      </c>
      <c r="D230" s="412">
        <f t="shared" si="11"/>
        <v>126989.17076923049</v>
      </c>
      <c r="E230" s="456">
        <f t="shared" si="10"/>
        <v>63494.585384615384</v>
      </c>
      <c r="F230" s="412">
        <f t="shared" si="6"/>
        <v>63494.585384615108</v>
      </c>
      <c r="G230" s="851">
        <f t="shared" si="7"/>
        <v>74152.741138663958</v>
      </c>
      <c r="H230" s="854">
        <f t="shared" si="8"/>
        <v>74152.741138663958</v>
      </c>
      <c r="I230" s="453">
        <f t="shared" si="9"/>
        <v>0</v>
      </c>
      <c r="J230" s="453"/>
      <c r="K230" s="566"/>
      <c r="L230" s="459"/>
      <c r="M230" s="566"/>
      <c r="N230" s="459"/>
      <c r="O230" s="459"/>
      <c r="P230" s="414"/>
    </row>
    <row r="231" spans="3:16">
      <c r="C231" s="449">
        <f>IF(D186="","-",+C230+1)</f>
        <v>2050</v>
      </c>
      <c r="D231" s="412">
        <f t="shared" si="11"/>
        <v>63494.585384615108</v>
      </c>
      <c r="E231" s="456">
        <f t="shared" si="10"/>
        <v>63494.585384615108</v>
      </c>
      <c r="F231" s="412">
        <f t="shared" si="6"/>
        <v>0</v>
      </c>
      <c r="G231" s="851">
        <f t="shared" si="7"/>
        <v>67047.303969297966</v>
      </c>
      <c r="H231" s="854">
        <f t="shared" si="8"/>
        <v>67047.303969297966</v>
      </c>
      <c r="I231" s="453">
        <f t="shared" si="9"/>
        <v>0</v>
      </c>
      <c r="J231" s="453"/>
      <c r="K231" s="566"/>
      <c r="L231" s="459"/>
      <c r="M231" s="566"/>
      <c r="N231" s="459"/>
      <c r="O231" s="459"/>
      <c r="P231" s="414"/>
    </row>
    <row r="232" spans="3:16">
      <c r="C232" s="449">
        <f>IF(D186="","-",+C231+1)</f>
        <v>2051</v>
      </c>
      <c r="D232" s="412">
        <f t="shared" si="11"/>
        <v>0</v>
      </c>
      <c r="E232" s="456">
        <f t="shared" si="10"/>
        <v>0</v>
      </c>
      <c r="F232" s="412">
        <f t="shared" si="6"/>
        <v>0</v>
      </c>
      <c r="G232" s="851">
        <f t="shared" si="7"/>
        <v>0</v>
      </c>
      <c r="H232" s="854">
        <f t="shared" si="8"/>
        <v>0</v>
      </c>
      <c r="I232" s="453">
        <f t="shared" si="9"/>
        <v>0</v>
      </c>
      <c r="J232" s="453"/>
      <c r="K232" s="566"/>
      <c r="L232" s="459"/>
      <c r="M232" s="566"/>
      <c r="N232" s="459"/>
      <c r="O232" s="459"/>
      <c r="P232" s="414"/>
    </row>
    <row r="233" spans="3:16">
      <c r="C233" s="449">
        <f>IF(D186="","-",+C232+1)</f>
        <v>2052</v>
      </c>
      <c r="D233" s="412">
        <f t="shared" si="11"/>
        <v>0</v>
      </c>
      <c r="E233" s="456">
        <f t="shared" si="10"/>
        <v>0</v>
      </c>
      <c r="F233" s="412">
        <f t="shared" si="6"/>
        <v>0</v>
      </c>
      <c r="G233" s="851">
        <f t="shared" si="7"/>
        <v>0</v>
      </c>
      <c r="H233" s="854">
        <f t="shared" si="8"/>
        <v>0</v>
      </c>
      <c r="I233" s="453">
        <f t="shared" si="9"/>
        <v>0</v>
      </c>
      <c r="J233" s="453"/>
      <c r="K233" s="566"/>
      <c r="L233" s="459"/>
      <c r="M233" s="566"/>
      <c r="N233" s="459"/>
      <c r="O233" s="459"/>
      <c r="P233" s="414"/>
    </row>
    <row r="234" spans="3:16">
      <c r="C234" s="449">
        <f>IF(D186="","-",+C233+1)</f>
        <v>2053</v>
      </c>
      <c r="D234" s="412">
        <f t="shared" si="11"/>
        <v>0</v>
      </c>
      <c r="E234" s="456">
        <f t="shared" si="10"/>
        <v>0</v>
      </c>
      <c r="F234" s="412">
        <f t="shared" si="6"/>
        <v>0</v>
      </c>
      <c r="G234" s="851">
        <f t="shared" si="7"/>
        <v>0</v>
      </c>
      <c r="H234" s="854">
        <f t="shared" si="8"/>
        <v>0</v>
      </c>
      <c r="I234" s="453">
        <f t="shared" si="9"/>
        <v>0</v>
      </c>
      <c r="J234" s="453"/>
      <c r="K234" s="566"/>
      <c r="L234" s="459"/>
      <c r="M234" s="566"/>
      <c r="N234" s="459"/>
      <c r="O234" s="459"/>
      <c r="P234" s="414"/>
    </row>
    <row r="235" spans="3:16">
      <c r="C235" s="449">
        <f>IF(D186="","-",+C234+1)</f>
        <v>2054</v>
      </c>
      <c r="D235" s="412">
        <f t="shared" si="11"/>
        <v>0</v>
      </c>
      <c r="E235" s="456">
        <f t="shared" si="10"/>
        <v>0</v>
      </c>
      <c r="F235" s="412">
        <f t="shared" si="6"/>
        <v>0</v>
      </c>
      <c r="G235" s="851">
        <f t="shared" si="7"/>
        <v>0</v>
      </c>
      <c r="H235" s="854">
        <f t="shared" si="8"/>
        <v>0</v>
      </c>
      <c r="I235" s="453">
        <f t="shared" si="9"/>
        <v>0</v>
      </c>
      <c r="J235" s="453"/>
      <c r="K235" s="566"/>
      <c r="L235" s="459"/>
      <c r="M235" s="566"/>
      <c r="N235" s="459"/>
      <c r="O235" s="459"/>
      <c r="P235" s="414"/>
    </row>
    <row r="236" spans="3:16">
      <c r="C236" s="449">
        <f>IF(D186="","-",+C235+1)</f>
        <v>2055</v>
      </c>
      <c r="D236" s="412">
        <f t="shared" si="11"/>
        <v>0</v>
      </c>
      <c r="E236" s="456">
        <f t="shared" si="10"/>
        <v>0</v>
      </c>
      <c r="F236" s="412">
        <f t="shared" si="6"/>
        <v>0</v>
      </c>
      <c r="G236" s="851">
        <f t="shared" si="7"/>
        <v>0</v>
      </c>
      <c r="H236" s="854">
        <f t="shared" si="8"/>
        <v>0</v>
      </c>
      <c r="I236" s="453">
        <f t="shared" si="9"/>
        <v>0</v>
      </c>
      <c r="J236" s="453"/>
      <c r="K236" s="566"/>
      <c r="L236" s="459"/>
      <c r="M236" s="566"/>
      <c r="N236" s="459"/>
      <c r="O236" s="459"/>
      <c r="P236" s="414"/>
    </row>
    <row r="237" spans="3:16">
      <c r="C237" s="449">
        <f>IF(D186="","-",+C236+1)</f>
        <v>2056</v>
      </c>
      <c r="D237" s="412">
        <f t="shared" si="11"/>
        <v>0</v>
      </c>
      <c r="E237" s="456">
        <f t="shared" si="10"/>
        <v>0</v>
      </c>
      <c r="F237" s="412">
        <f t="shared" si="6"/>
        <v>0</v>
      </c>
      <c r="G237" s="851">
        <f t="shared" si="7"/>
        <v>0</v>
      </c>
      <c r="H237" s="854">
        <f t="shared" si="8"/>
        <v>0</v>
      </c>
      <c r="I237" s="453">
        <f t="shared" si="9"/>
        <v>0</v>
      </c>
      <c r="J237" s="453"/>
      <c r="K237" s="566"/>
      <c r="L237" s="459"/>
      <c r="M237" s="566"/>
      <c r="N237" s="459"/>
      <c r="O237" s="459"/>
      <c r="P237" s="414"/>
    </row>
    <row r="238" spans="3:16">
      <c r="C238" s="449">
        <f>IF(D186="","-",+C237+1)</f>
        <v>2057</v>
      </c>
      <c r="D238" s="412">
        <f t="shared" si="11"/>
        <v>0</v>
      </c>
      <c r="E238" s="456">
        <f t="shared" si="10"/>
        <v>0</v>
      </c>
      <c r="F238" s="412">
        <f t="shared" si="6"/>
        <v>0</v>
      </c>
      <c r="G238" s="851">
        <f t="shared" si="7"/>
        <v>0</v>
      </c>
      <c r="H238" s="854">
        <f t="shared" si="8"/>
        <v>0</v>
      </c>
      <c r="I238" s="453">
        <f t="shared" si="9"/>
        <v>0</v>
      </c>
      <c r="J238" s="453"/>
      <c r="K238" s="566"/>
      <c r="L238" s="459"/>
      <c r="M238" s="566"/>
      <c r="N238" s="459"/>
      <c r="O238" s="459"/>
      <c r="P238" s="414"/>
    </row>
    <row r="239" spans="3:16">
      <c r="C239" s="449">
        <f>IF(D186="","-",+C238+1)</f>
        <v>2058</v>
      </c>
      <c r="D239" s="412">
        <f t="shared" si="11"/>
        <v>0</v>
      </c>
      <c r="E239" s="456">
        <f t="shared" si="10"/>
        <v>0</v>
      </c>
      <c r="F239" s="412">
        <f t="shared" si="6"/>
        <v>0</v>
      </c>
      <c r="G239" s="851">
        <f t="shared" si="7"/>
        <v>0</v>
      </c>
      <c r="H239" s="854">
        <f t="shared" si="8"/>
        <v>0</v>
      </c>
      <c r="I239" s="453">
        <f t="shared" si="9"/>
        <v>0</v>
      </c>
      <c r="J239" s="453"/>
      <c r="K239" s="566"/>
      <c r="L239" s="459"/>
      <c r="M239" s="566"/>
      <c r="N239" s="459"/>
      <c r="O239" s="459"/>
      <c r="P239" s="414"/>
    </row>
    <row r="240" spans="3:16">
      <c r="C240" s="449">
        <f>IF(D186="","-",+C239+1)</f>
        <v>2059</v>
      </c>
      <c r="D240" s="412">
        <f t="shared" si="11"/>
        <v>0</v>
      </c>
      <c r="E240" s="456">
        <f t="shared" si="10"/>
        <v>0</v>
      </c>
      <c r="F240" s="412">
        <f t="shared" si="6"/>
        <v>0</v>
      </c>
      <c r="G240" s="851">
        <f t="shared" si="7"/>
        <v>0</v>
      </c>
      <c r="H240" s="854">
        <f t="shared" si="8"/>
        <v>0</v>
      </c>
      <c r="I240" s="453">
        <f t="shared" si="9"/>
        <v>0</v>
      </c>
      <c r="J240" s="453"/>
      <c r="K240" s="566"/>
      <c r="L240" s="459"/>
      <c r="M240" s="566"/>
      <c r="N240" s="459"/>
      <c r="O240" s="459"/>
      <c r="P240" s="414"/>
    </row>
    <row r="241" spans="3:16">
      <c r="C241" s="449">
        <f>IF(D186="","-",+C240+1)</f>
        <v>2060</v>
      </c>
      <c r="D241" s="412">
        <f t="shared" si="11"/>
        <v>0</v>
      </c>
      <c r="E241" s="456">
        <f t="shared" si="10"/>
        <v>0</v>
      </c>
      <c r="F241" s="412">
        <f t="shared" si="6"/>
        <v>0</v>
      </c>
      <c r="G241" s="851">
        <f t="shared" si="7"/>
        <v>0</v>
      </c>
      <c r="H241" s="854">
        <f t="shared" si="8"/>
        <v>0</v>
      </c>
      <c r="I241" s="453">
        <f t="shared" si="9"/>
        <v>0</v>
      </c>
      <c r="J241" s="453"/>
      <c r="K241" s="566"/>
      <c r="L241" s="459"/>
      <c r="M241" s="566"/>
      <c r="N241" s="459"/>
      <c r="O241" s="459"/>
      <c r="P241" s="414"/>
    </row>
    <row r="242" spans="3:16">
      <c r="C242" s="449">
        <f>IF(D186="","-",+C241+1)</f>
        <v>2061</v>
      </c>
      <c r="D242" s="412">
        <f t="shared" si="11"/>
        <v>0</v>
      </c>
      <c r="E242" s="456">
        <f t="shared" si="10"/>
        <v>0</v>
      </c>
      <c r="F242" s="412">
        <f t="shared" si="6"/>
        <v>0</v>
      </c>
      <c r="G242" s="851">
        <f t="shared" si="7"/>
        <v>0</v>
      </c>
      <c r="H242" s="854">
        <f t="shared" si="8"/>
        <v>0</v>
      </c>
      <c r="I242" s="453">
        <f t="shared" si="9"/>
        <v>0</v>
      </c>
      <c r="J242" s="453"/>
      <c r="K242" s="566"/>
      <c r="L242" s="459"/>
      <c r="M242" s="566"/>
      <c r="N242" s="459"/>
      <c r="O242" s="459"/>
      <c r="P242" s="414"/>
    </row>
    <row r="243" spans="3:16">
      <c r="C243" s="449">
        <f>IF(D186="","-",+C242+1)</f>
        <v>2062</v>
      </c>
      <c r="D243" s="412">
        <f t="shared" si="11"/>
        <v>0</v>
      </c>
      <c r="E243" s="456">
        <f t="shared" si="10"/>
        <v>0</v>
      </c>
      <c r="F243" s="412">
        <f t="shared" si="6"/>
        <v>0</v>
      </c>
      <c r="G243" s="851">
        <f t="shared" si="7"/>
        <v>0</v>
      </c>
      <c r="H243" s="854">
        <f t="shared" si="8"/>
        <v>0</v>
      </c>
      <c r="I243" s="453">
        <f t="shared" si="9"/>
        <v>0</v>
      </c>
      <c r="J243" s="453"/>
      <c r="K243" s="566"/>
      <c r="L243" s="459"/>
      <c r="M243" s="566"/>
      <c r="N243" s="459"/>
      <c r="O243" s="459"/>
      <c r="P243" s="414"/>
    </row>
    <row r="244" spans="3:16">
      <c r="C244" s="449">
        <f>IF(D186="","-",+C243+1)</f>
        <v>2063</v>
      </c>
      <c r="D244" s="412">
        <f t="shared" si="11"/>
        <v>0</v>
      </c>
      <c r="E244" s="456">
        <f t="shared" si="10"/>
        <v>0</v>
      </c>
      <c r="F244" s="412">
        <f t="shared" si="6"/>
        <v>0</v>
      </c>
      <c r="G244" s="851">
        <f t="shared" si="7"/>
        <v>0</v>
      </c>
      <c r="H244" s="854">
        <f t="shared" si="8"/>
        <v>0</v>
      </c>
      <c r="I244" s="453">
        <f t="shared" si="9"/>
        <v>0</v>
      </c>
      <c r="J244" s="453"/>
      <c r="K244" s="566"/>
      <c r="L244" s="459"/>
      <c r="M244" s="566"/>
      <c r="N244" s="459"/>
      <c r="O244" s="459"/>
      <c r="P244" s="414"/>
    </row>
    <row r="245" spans="3:16">
      <c r="C245" s="449">
        <f>IF(D186="","-",+C244+1)</f>
        <v>2064</v>
      </c>
      <c r="D245" s="412">
        <f t="shared" si="11"/>
        <v>0</v>
      </c>
      <c r="E245" s="456">
        <f t="shared" si="10"/>
        <v>0</v>
      </c>
      <c r="F245" s="412">
        <f t="shared" si="6"/>
        <v>0</v>
      </c>
      <c r="G245" s="851">
        <f t="shared" si="7"/>
        <v>0</v>
      </c>
      <c r="H245" s="854">
        <f t="shared" si="8"/>
        <v>0</v>
      </c>
      <c r="I245" s="453">
        <f t="shared" si="9"/>
        <v>0</v>
      </c>
      <c r="J245" s="453"/>
      <c r="K245" s="566"/>
      <c r="L245" s="459"/>
      <c r="M245" s="566"/>
      <c r="N245" s="459"/>
      <c r="O245" s="459"/>
      <c r="P245" s="414"/>
    </row>
    <row r="246" spans="3:16">
      <c r="C246" s="449">
        <f>IF(D186="","-",+C245+1)</f>
        <v>2065</v>
      </c>
      <c r="D246" s="412">
        <f t="shared" si="11"/>
        <v>0</v>
      </c>
      <c r="E246" s="456">
        <f t="shared" si="10"/>
        <v>0</v>
      </c>
      <c r="F246" s="412">
        <f t="shared" si="6"/>
        <v>0</v>
      </c>
      <c r="G246" s="851">
        <f t="shared" si="7"/>
        <v>0</v>
      </c>
      <c r="H246" s="854">
        <f t="shared" si="8"/>
        <v>0</v>
      </c>
      <c r="I246" s="453">
        <f t="shared" si="9"/>
        <v>0</v>
      </c>
      <c r="J246" s="453"/>
      <c r="K246" s="566"/>
      <c r="L246" s="459"/>
      <c r="M246" s="566"/>
      <c r="N246" s="459"/>
      <c r="O246" s="459"/>
      <c r="P246" s="414"/>
    </row>
    <row r="247" spans="3:16">
      <c r="C247" s="449">
        <f>IF(D186="","-",+C246+1)</f>
        <v>2066</v>
      </c>
      <c r="D247" s="412">
        <f t="shared" si="11"/>
        <v>0</v>
      </c>
      <c r="E247" s="456">
        <f t="shared" si="10"/>
        <v>0</v>
      </c>
      <c r="F247" s="412">
        <f t="shared" si="6"/>
        <v>0</v>
      </c>
      <c r="G247" s="851">
        <f t="shared" si="7"/>
        <v>0</v>
      </c>
      <c r="H247" s="854">
        <f t="shared" si="8"/>
        <v>0</v>
      </c>
      <c r="I247" s="453">
        <f t="shared" si="9"/>
        <v>0</v>
      </c>
      <c r="J247" s="453"/>
      <c r="K247" s="566"/>
      <c r="L247" s="459"/>
      <c r="M247" s="566"/>
      <c r="N247" s="459"/>
      <c r="O247" s="459"/>
      <c r="P247" s="414"/>
    </row>
    <row r="248" spans="3:16">
      <c r="C248" s="449">
        <f>IF(D186="","-",+C247+1)</f>
        <v>2067</v>
      </c>
      <c r="D248" s="412">
        <f t="shared" si="11"/>
        <v>0</v>
      </c>
      <c r="E248" s="456">
        <f t="shared" si="10"/>
        <v>0</v>
      </c>
      <c r="F248" s="412">
        <f t="shared" si="6"/>
        <v>0</v>
      </c>
      <c r="G248" s="851">
        <f t="shared" si="7"/>
        <v>0</v>
      </c>
      <c r="H248" s="854">
        <f t="shared" si="8"/>
        <v>0</v>
      </c>
      <c r="I248" s="453">
        <f t="shared" si="9"/>
        <v>0</v>
      </c>
      <c r="J248" s="453"/>
      <c r="K248" s="566"/>
      <c r="L248" s="459"/>
      <c r="M248" s="566"/>
      <c r="N248" s="459"/>
      <c r="O248" s="459"/>
      <c r="P248" s="414"/>
    </row>
    <row r="249" spans="3:16">
      <c r="C249" s="449">
        <f>IF(D186="","-",+C248+1)</f>
        <v>2068</v>
      </c>
      <c r="D249" s="412">
        <f t="shared" si="11"/>
        <v>0</v>
      </c>
      <c r="E249" s="456">
        <f t="shared" si="10"/>
        <v>0</v>
      </c>
      <c r="F249" s="412">
        <f t="shared" si="6"/>
        <v>0</v>
      </c>
      <c r="G249" s="851">
        <f t="shared" si="7"/>
        <v>0</v>
      </c>
      <c r="H249" s="854">
        <f t="shared" si="8"/>
        <v>0</v>
      </c>
      <c r="I249" s="453">
        <f t="shared" si="9"/>
        <v>0</v>
      </c>
      <c r="J249" s="453"/>
      <c r="K249" s="566"/>
      <c r="L249" s="459"/>
      <c r="M249" s="566"/>
      <c r="N249" s="459"/>
      <c r="O249" s="459"/>
      <c r="P249" s="414"/>
    </row>
    <row r="250" spans="3:16">
      <c r="C250" s="449">
        <f>IF(D186="","-",+C249+1)</f>
        <v>2069</v>
      </c>
      <c r="D250" s="412">
        <f t="shared" si="11"/>
        <v>0</v>
      </c>
      <c r="E250" s="456">
        <f t="shared" si="10"/>
        <v>0</v>
      </c>
      <c r="F250" s="412">
        <f t="shared" si="6"/>
        <v>0</v>
      </c>
      <c r="G250" s="851">
        <f t="shared" si="7"/>
        <v>0</v>
      </c>
      <c r="H250" s="854">
        <f t="shared" si="8"/>
        <v>0</v>
      </c>
      <c r="I250" s="453">
        <f t="shared" si="9"/>
        <v>0</v>
      </c>
      <c r="J250" s="453"/>
      <c r="K250" s="566"/>
      <c r="L250" s="459"/>
      <c r="M250" s="566"/>
      <c r="N250" s="459"/>
      <c r="O250" s="459"/>
      <c r="P250" s="414"/>
    </row>
    <row r="251" spans="3:16" ht="13.5" thickBot="1">
      <c r="C251" s="461">
        <f>IF(D186="","-",+C250+1)</f>
        <v>2070</v>
      </c>
      <c r="D251" s="462">
        <f t="shared" si="11"/>
        <v>0</v>
      </c>
      <c r="E251" s="463">
        <f t="shared" si="10"/>
        <v>0</v>
      </c>
      <c r="F251" s="462">
        <f t="shared" si="6"/>
        <v>0</v>
      </c>
      <c r="G251" s="861">
        <f t="shared" si="7"/>
        <v>0</v>
      </c>
      <c r="H251" s="861">
        <f t="shared" si="8"/>
        <v>0</v>
      </c>
      <c r="I251" s="465">
        <f t="shared" si="9"/>
        <v>0</v>
      </c>
      <c r="J251" s="453"/>
      <c r="K251" s="567"/>
      <c r="L251" s="467"/>
      <c r="M251" s="567"/>
      <c r="N251" s="467"/>
      <c r="O251" s="467"/>
      <c r="P251" s="414"/>
    </row>
    <row r="252" spans="3:16">
      <c r="C252" s="412" t="s">
        <v>288</v>
      </c>
      <c r="D252" s="832"/>
      <c r="E252" s="832">
        <f>SUM(E192:E251)</f>
        <v>2476288.83</v>
      </c>
      <c r="F252" s="832"/>
      <c r="G252" s="832">
        <f>SUM(G192:G251)</f>
        <v>8157085.8469079044</v>
      </c>
      <c r="H252" s="832">
        <f>SUM(H192:H251)</f>
        <v>8157085.8469079044</v>
      </c>
      <c r="I252" s="832">
        <f>SUM(I192:I251)</f>
        <v>0</v>
      </c>
      <c r="J252" s="832"/>
      <c r="K252" s="832"/>
      <c r="L252" s="832"/>
      <c r="M252" s="832"/>
      <c r="N252" s="832"/>
      <c r="O252" s="4"/>
      <c r="P252" s="832"/>
    </row>
    <row r="253" spans="3:16">
      <c r="D253" s="67"/>
      <c r="E253" s="4"/>
      <c r="F253" s="4"/>
      <c r="G253" s="4"/>
      <c r="H253" s="831"/>
      <c r="I253" s="831"/>
      <c r="J253" s="832"/>
      <c r="K253" s="831"/>
      <c r="L253" s="831"/>
      <c r="M253" s="831"/>
      <c r="N253" s="831"/>
      <c r="O253" s="4"/>
      <c r="P253" s="832"/>
    </row>
    <row r="254" spans="3:16">
      <c r="C254" s="4" t="s">
        <v>601</v>
      </c>
      <c r="D254" s="67"/>
      <c r="E254" s="4"/>
      <c r="F254" s="4"/>
      <c r="G254" s="4"/>
      <c r="H254" s="831"/>
      <c r="I254" s="831"/>
      <c r="J254" s="832"/>
      <c r="K254" s="831"/>
      <c r="L254" s="831"/>
      <c r="M254" s="831"/>
      <c r="N254" s="831"/>
      <c r="O254" s="4"/>
      <c r="P254" s="832"/>
    </row>
    <row r="255" spans="3:16">
      <c r="D255" s="67"/>
      <c r="E255" s="4"/>
      <c r="F255" s="4"/>
      <c r="G255" s="4"/>
      <c r="H255" s="831"/>
      <c r="I255" s="831"/>
      <c r="J255" s="832"/>
      <c r="K255" s="831"/>
      <c r="L255" s="831"/>
      <c r="M255" s="831"/>
      <c r="N255" s="831"/>
      <c r="O255" s="4"/>
      <c r="P255" s="832"/>
    </row>
    <row r="256" spans="3:16">
      <c r="C256" s="4" t="s">
        <v>602</v>
      </c>
      <c r="D256" s="412"/>
      <c r="E256" s="412"/>
      <c r="F256" s="412"/>
      <c r="G256" s="832"/>
      <c r="H256" s="832"/>
      <c r="I256" s="414"/>
      <c r="J256" s="414"/>
      <c r="K256" s="414"/>
      <c r="L256" s="414"/>
      <c r="M256" s="414"/>
      <c r="N256" s="414"/>
      <c r="O256" s="4"/>
      <c r="P256" s="414"/>
    </row>
    <row r="257" spans="1:16">
      <c r="C257" s="4" t="s">
        <v>476</v>
      </c>
      <c r="D257" s="412"/>
      <c r="E257" s="412"/>
      <c r="F257" s="412"/>
      <c r="G257" s="832"/>
      <c r="H257" s="832"/>
      <c r="I257" s="414"/>
      <c r="J257" s="414"/>
      <c r="K257" s="414"/>
      <c r="L257" s="414"/>
      <c r="M257" s="414"/>
      <c r="N257" s="414"/>
      <c r="O257" s="4"/>
      <c r="P257" s="414"/>
    </row>
    <row r="258" spans="1:16">
      <c r="C258" s="4" t="s">
        <v>289</v>
      </c>
      <c r="D258" s="412"/>
      <c r="E258" s="412"/>
      <c r="F258" s="412"/>
      <c r="G258" s="832"/>
      <c r="H258" s="832"/>
      <c r="I258" s="414"/>
      <c r="J258" s="414"/>
      <c r="K258" s="414"/>
      <c r="L258" s="414"/>
      <c r="M258" s="414"/>
      <c r="N258" s="414"/>
      <c r="O258" s="4"/>
      <c r="P258" s="414"/>
    </row>
    <row r="259" spans="1:16">
      <c r="C259" s="413"/>
      <c r="D259" s="412"/>
      <c r="E259" s="412"/>
      <c r="F259" s="412"/>
      <c r="G259" s="832"/>
      <c r="H259" s="832"/>
      <c r="I259" s="414"/>
      <c r="J259" s="414"/>
      <c r="K259" s="414"/>
      <c r="L259" s="414"/>
      <c r="M259" s="414"/>
      <c r="N259" s="414"/>
      <c r="O259" s="4"/>
      <c r="P259" s="414"/>
    </row>
    <row r="260" spans="1:16">
      <c r="C260" s="1279" t="s">
        <v>460</v>
      </c>
      <c r="D260" s="1279"/>
      <c r="E260" s="1279"/>
      <c r="F260" s="1279"/>
      <c r="G260" s="1279"/>
      <c r="H260" s="1279"/>
      <c r="I260" s="1279"/>
      <c r="J260" s="1279"/>
      <c r="K260" s="1279"/>
      <c r="L260" s="1279"/>
      <c r="M260" s="1279"/>
      <c r="N260" s="1279"/>
      <c r="O260" s="1279"/>
      <c r="P260" s="4"/>
    </row>
    <row r="261" spans="1:16">
      <c r="C261" s="1279"/>
      <c r="D261" s="1279"/>
      <c r="E261" s="1279"/>
      <c r="F261" s="1279"/>
      <c r="G261" s="1279"/>
      <c r="H261" s="1279"/>
      <c r="I261" s="1279"/>
      <c r="J261" s="1279"/>
      <c r="K261" s="1279"/>
      <c r="L261" s="1279"/>
      <c r="M261" s="1279"/>
      <c r="N261" s="1279"/>
      <c r="O261" s="1279"/>
      <c r="P261" s="4"/>
    </row>
    <row r="262" spans="1:16" ht="20.25">
      <c r="A262" s="352" t="s">
        <v>929</v>
      </c>
      <c r="B262" s="4"/>
      <c r="C262" s="4"/>
      <c r="D262" s="67"/>
      <c r="E262" s="4"/>
      <c r="F262" s="394"/>
      <c r="G262" s="4"/>
      <c r="H262" s="831"/>
      <c r="K262" s="353"/>
      <c r="L262" s="353"/>
      <c r="M262" s="353"/>
      <c r="N262" s="353" t="str">
        <f>"Page "&amp;SUM(P$6:P262)&amp;" of "</f>
        <v xml:space="preserve">Page 4 of </v>
      </c>
      <c r="O262" s="354">
        <f>COUNT(P$6:P$59606)</f>
        <v>18</v>
      </c>
      <c r="P262" s="4">
        <v>1</v>
      </c>
    </row>
    <row r="263" spans="1:16">
      <c r="B263" s="4"/>
      <c r="C263" s="4"/>
      <c r="D263" s="67"/>
      <c r="E263" s="4"/>
      <c r="F263" s="4"/>
      <c r="G263" s="4"/>
      <c r="H263" s="831"/>
      <c r="I263" s="4"/>
      <c r="J263" s="4"/>
      <c r="K263" s="4"/>
      <c r="L263" s="4"/>
      <c r="M263" s="4"/>
      <c r="N263" s="4"/>
      <c r="O263" s="4"/>
      <c r="P263" s="4"/>
    </row>
    <row r="264" spans="1:16" ht="18">
      <c r="B264" s="355" t="s">
        <v>174</v>
      </c>
      <c r="C264" s="415" t="s">
        <v>290</v>
      </c>
      <c r="D264" s="67"/>
      <c r="E264" s="4"/>
      <c r="F264" s="4"/>
      <c r="G264" s="4"/>
      <c r="H264" s="831"/>
      <c r="I264" s="831"/>
      <c r="J264" s="832"/>
      <c r="K264" s="831"/>
      <c r="L264" s="831"/>
      <c r="M264" s="831"/>
      <c r="N264" s="831"/>
      <c r="O264" s="4"/>
      <c r="P264" s="4"/>
    </row>
    <row r="265" spans="1:16" ht="18.75">
      <c r="B265" s="355"/>
      <c r="C265" s="11"/>
      <c r="D265" s="67"/>
      <c r="E265" s="4"/>
      <c r="F265" s="4"/>
      <c r="G265" s="4"/>
      <c r="H265" s="831"/>
      <c r="I265" s="831"/>
      <c r="J265" s="832"/>
      <c r="K265" s="831"/>
      <c r="L265" s="831"/>
      <c r="M265" s="831"/>
      <c r="N265" s="831"/>
      <c r="O265" s="4"/>
      <c r="P265" s="4"/>
    </row>
    <row r="266" spans="1:16" ht="18.75">
      <c r="B266" s="355"/>
      <c r="C266" s="11" t="s">
        <v>291</v>
      </c>
      <c r="D266" s="67"/>
      <c r="E266" s="4"/>
      <c r="F266" s="4"/>
      <c r="G266" s="4"/>
      <c r="H266" s="831"/>
      <c r="I266" s="831"/>
      <c r="J266" s="832"/>
      <c r="K266" s="831"/>
      <c r="L266" s="831"/>
      <c r="M266" s="831"/>
      <c r="N266" s="831"/>
      <c r="O266" s="4"/>
      <c r="P266" s="4"/>
    </row>
    <row r="267" spans="1:16" ht="15.75" thickBot="1">
      <c r="C267" s="203"/>
      <c r="D267" s="67"/>
      <c r="E267" s="4"/>
      <c r="F267" s="4"/>
      <c r="G267" s="4"/>
      <c r="H267" s="831"/>
      <c r="I267" s="831"/>
      <c r="J267" s="832"/>
      <c r="K267" s="831"/>
      <c r="L267" s="831"/>
      <c r="M267" s="831"/>
      <c r="N267" s="831"/>
      <c r="O267" s="4"/>
      <c r="P267" s="4"/>
    </row>
    <row r="268" spans="1:16" ht="15.75">
      <c r="C268" s="356" t="s">
        <v>292</v>
      </c>
      <c r="D268" s="67"/>
      <c r="E268" s="4"/>
      <c r="F268" s="4"/>
      <c r="G268" s="833"/>
      <c r="H268" s="4" t="s">
        <v>271</v>
      </c>
      <c r="I268" s="4"/>
      <c r="J268" s="4"/>
      <c r="K268" s="416" t="s">
        <v>296</v>
      </c>
      <c r="L268" s="417"/>
      <c r="M268" s="418"/>
      <c r="N268" s="834">
        <f>VLOOKUP(I274,C281:O340,5)</f>
        <v>2966785.1801873026</v>
      </c>
      <c r="O268" s="4"/>
      <c r="P268" s="4"/>
    </row>
    <row r="269" spans="1:16" ht="15.75">
      <c r="C269" s="356"/>
      <c r="D269" s="67"/>
      <c r="E269" s="4"/>
      <c r="F269" s="4"/>
      <c r="G269" s="4"/>
      <c r="H269" s="835"/>
      <c r="I269" s="835"/>
      <c r="J269" s="836"/>
      <c r="K269" s="421" t="s">
        <v>297</v>
      </c>
      <c r="L269" s="837"/>
      <c r="M269" s="4"/>
      <c r="N269" s="838">
        <f>VLOOKUP(I274,C281:O340,6)</f>
        <v>2966785.1801873026</v>
      </c>
      <c r="O269" s="4"/>
      <c r="P269" s="4"/>
    </row>
    <row r="270" spans="1:16" ht="13.5" thickBot="1">
      <c r="C270" s="422" t="s">
        <v>293</v>
      </c>
      <c r="D270" s="1277" t="s">
        <v>933</v>
      </c>
      <c r="E270" s="1277"/>
      <c r="F270" s="1277"/>
      <c r="G270" s="1277"/>
      <c r="H270" s="831"/>
      <c r="I270" s="831"/>
      <c r="J270" s="832"/>
      <c r="K270" s="839" t="s">
        <v>450</v>
      </c>
      <c r="L270" s="840"/>
      <c r="M270" s="840"/>
      <c r="N270" s="841">
        <f>+N269-N268</f>
        <v>0</v>
      </c>
      <c r="O270" s="4"/>
      <c r="P270" s="4"/>
    </row>
    <row r="271" spans="1:16">
      <c r="C271" s="424"/>
      <c r="D271" s="425"/>
      <c r="E271" s="412"/>
      <c r="F271" s="412"/>
      <c r="G271" s="426"/>
      <c r="H271" s="831"/>
      <c r="I271" s="831"/>
      <c r="J271" s="832"/>
      <c r="K271" s="831"/>
      <c r="L271" s="831"/>
      <c r="M271" s="831"/>
      <c r="N271" s="831"/>
      <c r="O271" s="4"/>
      <c r="P271" s="4"/>
    </row>
    <row r="272" spans="1:16" ht="13.5" thickBot="1">
      <c r="C272" s="424"/>
      <c r="D272" s="4"/>
      <c r="E272" s="426"/>
      <c r="F272" s="426"/>
      <c r="G272" s="426"/>
      <c r="H272" s="426"/>
      <c r="I272" s="426"/>
      <c r="J272" s="426"/>
      <c r="K272" s="426"/>
      <c r="L272" s="426"/>
      <c r="M272" s="426"/>
      <c r="N272" s="426"/>
      <c r="O272" s="4"/>
      <c r="P272" s="4"/>
    </row>
    <row r="273" spans="1:16" ht="13.5" thickBot="1">
      <c r="C273" s="427" t="s">
        <v>294</v>
      </c>
      <c r="D273" s="428"/>
      <c r="E273" s="428"/>
      <c r="F273" s="428"/>
      <c r="G273" s="428"/>
      <c r="H273" s="428"/>
      <c r="I273" s="429"/>
      <c r="K273" s="4"/>
      <c r="L273" s="4"/>
      <c r="M273" s="4"/>
      <c r="N273" s="4"/>
      <c r="O273" s="4"/>
      <c r="P273" s="4"/>
    </row>
    <row r="274" spans="1:16" ht="15">
      <c r="B274" s="194"/>
      <c r="C274" s="430" t="s">
        <v>272</v>
      </c>
      <c r="D274" s="842">
        <v>28572967.259999994</v>
      </c>
      <c r="E274" s="4" t="s">
        <v>273</v>
      </c>
      <c r="G274" s="67"/>
      <c r="H274" s="67"/>
      <c r="I274" s="431">
        <f>$L$26</f>
        <v>2026</v>
      </c>
      <c r="J274" s="114"/>
      <c r="K274" s="1278" t="s">
        <v>459</v>
      </c>
      <c r="L274" s="1278"/>
      <c r="M274" s="1278"/>
      <c r="N274" s="1278"/>
      <c r="O274" s="1278"/>
      <c r="P274" s="4"/>
    </row>
    <row r="275" spans="1:16">
      <c r="B275" s="194"/>
      <c r="C275" s="430" t="s">
        <v>275</v>
      </c>
      <c r="D275" s="561">
        <v>2014</v>
      </c>
      <c r="E275" s="430" t="s">
        <v>276</v>
      </c>
      <c r="F275" s="67"/>
      <c r="I275" s="564">
        <f>IF(G268="",0,$F$15)</f>
        <v>0</v>
      </c>
      <c r="J275" s="432"/>
      <c r="K275" s="832" t="s">
        <v>459</v>
      </c>
      <c r="P275" s="4"/>
    </row>
    <row r="276" spans="1:16">
      <c r="B276" s="194"/>
      <c r="C276" s="430" t="s">
        <v>277</v>
      </c>
      <c r="D276" s="843">
        <v>9</v>
      </c>
      <c r="E276" s="430" t="s">
        <v>278</v>
      </c>
      <c r="F276" s="67"/>
      <c r="I276" s="433">
        <f>$G$70</f>
        <v>0.1119061905251431</v>
      </c>
      <c r="J276" s="394"/>
      <c r="K276" t="str">
        <f>"          INPUT PROJECTED ARR (WITH &amp; WITHOUT INCENTIVES) FROM EACH PRIOR YEAR"</f>
        <v xml:space="preserve">          INPUT PROJECTED ARR (WITH &amp; WITHOUT INCENTIVES) FROM EACH PRIOR YEAR</v>
      </c>
      <c r="P276" s="4"/>
    </row>
    <row r="277" spans="1:16">
      <c r="B277" s="194"/>
      <c r="C277" s="430" t="s">
        <v>279</v>
      </c>
      <c r="D277" s="434">
        <f>G$79</f>
        <v>39</v>
      </c>
      <c r="E277" s="430" t="s">
        <v>280</v>
      </c>
      <c r="F277" s="67"/>
      <c r="I277" s="433">
        <f>IF(G268="",I276,$G$67)</f>
        <v>0.1119061905251431</v>
      </c>
      <c r="J277" s="394"/>
      <c r="K277" t="s">
        <v>357</v>
      </c>
      <c r="P277" s="4"/>
    </row>
    <row r="278" spans="1:16" ht="13.5" thickBot="1">
      <c r="B278" s="194"/>
      <c r="C278" s="430" t="s">
        <v>281</v>
      </c>
      <c r="D278" s="563" t="s">
        <v>931</v>
      </c>
      <c r="E278" s="435" t="s">
        <v>282</v>
      </c>
      <c r="F278" s="436"/>
      <c r="G278" s="437"/>
      <c r="H278" s="437"/>
      <c r="I278" s="841">
        <f>IF(D274=0,0,D274/D277)</f>
        <v>732640.18615384598</v>
      </c>
      <c r="J278" s="832"/>
      <c r="K278" s="832" t="s">
        <v>363</v>
      </c>
      <c r="L278" s="832"/>
      <c r="M278" s="832"/>
      <c r="N278" s="832"/>
      <c r="O278" s="4"/>
      <c r="P278" s="4"/>
    </row>
    <row r="279" spans="1:16" ht="51">
      <c r="A279" s="322"/>
      <c r="B279" s="322"/>
      <c r="C279" s="438" t="s">
        <v>272</v>
      </c>
      <c r="D279" s="844" t="s">
        <v>283</v>
      </c>
      <c r="E279" s="845" t="s">
        <v>284</v>
      </c>
      <c r="F279" s="844" t="s">
        <v>285</v>
      </c>
      <c r="G279" s="845" t="s">
        <v>356</v>
      </c>
      <c r="H279" s="846" t="s">
        <v>356</v>
      </c>
      <c r="I279" s="438" t="s">
        <v>295</v>
      </c>
      <c r="J279" s="442"/>
      <c r="K279" s="845" t="s">
        <v>365</v>
      </c>
      <c r="L279" s="847"/>
      <c r="M279" s="845" t="s">
        <v>365</v>
      </c>
      <c r="N279" s="847"/>
      <c r="O279" s="847"/>
      <c r="P279" s="4"/>
    </row>
    <row r="280" spans="1:16" ht="13.5" thickBot="1">
      <c r="C280" s="444" t="s">
        <v>177</v>
      </c>
      <c r="D280" s="445" t="s">
        <v>178</v>
      </c>
      <c r="E280" s="444" t="s">
        <v>37</v>
      </c>
      <c r="F280" s="445" t="s">
        <v>178</v>
      </c>
      <c r="G280" s="848" t="s">
        <v>298</v>
      </c>
      <c r="H280" s="849" t="s">
        <v>300</v>
      </c>
      <c r="I280" s="444" t="s">
        <v>389</v>
      </c>
      <c r="J280" s="448"/>
      <c r="K280" s="848" t="s">
        <v>287</v>
      </c>
      <c r="L280" s="850"/>
      <c r="M280" s="848" t="s">
        <v>300</v>
      </c>
      <c r="N280" s="850"/>
      <c r="O280" s="850"/>
      <c r="P280" s="4"/>
    </row>
    <row r="281" spans="1:16">
      <c r="C281" s="449">
        <f>IF(D275= "","-",D275)</f>
        <v>2014</v>
      </c>
      <c r="D281" s="412">
        <f>+D274</f>
        <v>28572967.259999994</v>
      </c>
      <c r="E281" s="866">
        <f>+I278/12*(12-D276)</f>
        <v>183160.04653846149</v>
      </c>
      <c r="F281" s="412">
        <f>+D281-E281</f>
        <v>28389807.213461533</v>
      </c>
      <c r="G281" s="852">
        <f>+$I$276*((D281+F281)/2)+E281</f>
        <v>3370403.593072433</v>
      </c>
      <c r="H281" s="853">
        <f>+$I$277*((D281+F281)/2)+E281</f>
        <v>3370403.593072433</v>
      </c>
      <c r="I281" s="453">
        <f>+H281-G281</f>
        <v>0</v>
      </c>
      <c r="J281" s="453"/>
      <c r="K281" s="565">
        <v>184681</v>
      </c>
      <c r="L281" s="455"/>
      <c r="M281" s="565">
        <v>184681</v>
      </c>
      <c r="N281" s="455"/>
      <c r="O281" s="455"/>
      <c r="P281" s="4"/>
    </row>
    <row r="282" spans="1:16">
      <c r="C282" s="449">
        <f>IF(D275="","-",+C281+1)</f>
        <v>2015</v>
      </c>
      <c r="D282" s="412">
        <f>F281</f>
        <v>28389807.213461533</v>
      </c>
      <c r="E282" s="456">
        <f>IF(D282&gt;$I$278,$I$278,D282)</f>
        <v>732640.18615384598</v>
      </c>
      <c r="F282" s="412">
        <f>+D282-E282</f>
        <v>27657167.027307685</v>
      </c>
      <c r="G282" s="851">
        <f t="shared" ref="G282:G340" si="12">+$I$276*((D282+F282)/2)+E282</f>
        <v>3868641.8750264999</v>
      </c>
      <c r="H282" s="854">
        <f t="shared" ref="H282:H340" si="13">+$I$277*((D282+F282)/2)+E282</f>
        <v>3868641.8750264999</v>
      </c>
      <c r="I282" s="453">
        <f t="shared" ref="I282:I340" si="14">+H282-G282</f>
        <v>0</v>
      </c>
      <c r="J282" s="453"/>
      <c r="K282" s="566">
        <v>1644963</v>
      </c>
      <c r="L282" s="459"/>
      <c r="M282" s="566">
        <v>1644963</v>
      </c>
      <c r="N282" s="459"/>
      <c r="O282" s="459"/>
      <c r="P282" s="4"/>
    </row>
    <row r="283" spans="1:16">
      <c r="C283" s="449">
        <f>IF(D275="","-",+C282+1)</f>
        <v>2016</v>
      </c>
      <c r="D283" s="412">
        <f>F282</f>
        <v>27657167.027307685</v>
      </c>
      <c r="E283" s="456">
        <f t="shared" ref="E283:E340" si="15">IF(D283&gt;$I$278,$I$278,D283)</f>
        <v>732640.18615384598</v>
      </c>
      <c r="F283" s="412">
        <f t="shared" ref="F283:F340" si="16">+D283-E283</f>
        <v>26924526.841153838</v>
      </c>
      <c r="G283" s="851">
        <f t="shared" si="12"/>
        <v>3786654.9027683907</v>
      </c>
      <c r="H283" s="854">
        <f t="shared" si="13"/>
        <v>3786654.9027683907</v>
      </c>
      <c r="I283" s="453">
        <f t="shared" si="14"/>
        <v>0</v>
      </c>
      <c r="J283" s="453"/>
      <c r="K283" s="566">
        <v>1563801</v>
      </c>
      <c r="L283" s="864"/>
      <c r="M283" s="566">
        <v>1563801</v>
      </c>
      <c r="N283" s="459"/>
      <c r="O283" s="459"/>
      <c r="P283" s="4"/>
    </row>
    <row r="284" spans="1:16">
      <c r="C284" s="449">
        <f>IF(D275="","-",+C283+1)</f>
        <v>2017</v>
      </c>
      <c r="D284" s="412">
        <f t="shared" ref="D284:D340" si="17">F283</f>
        <v>26924526.841153838</v>
      </c>
      <c r="E284" s="456">
        <f t="shared" si="15"/>
        <v>732640.18615384598</v>
      </c>
      <c r="F284" s="412">
        <f t="shared" si="16"/>
        <v>26191886.65499999</v>
      </c>
      <c r="G284" s="851">
        <f t="shared" si="12"/>
        <v>3704667.9305102825</v>
      </c>
      <c r="H284" s="854">
        <f t="shared" si="13"/>
        <v>3704667.9305102825</v>
      </c>
      <c r="I284" s="453">
        <f t="shared" si="14"/>
        <v>0</v>
      </c>
      <c r="J284" s="453"/>
      <c r="K284" s="566">
        <v>1644963</v>
      </c>
      <c r="L284" s="459"/>
      <c r="M284" s="566">
        <v>1644963</v>
      </c>
      <c r="N284" s="459"/>
      <c r="O284" s="459"/>
      <c r="P284" s="4"/>
    </row>
    <row r="285" spans="1:16">
      <c r="C285" s="878">
        <f>IF(D275="","-",+C284+1)</f>
        <v>2018</v>
      </c>
      <c r="D285" s="856">
        <f t="shared" si="17"/>
        <v>26191886.65499999</v>
      </c>
      <c r="E285" s="857">
        <f t="shared" si="15"/>
        <v>732640.18615384598</v>
      </c>
      <c r="F285" s="856">
        <f t="shared" si="16"/>
        <v>25459246.468846142</v>
      </c>
      <c r="G285" s="858">
        <f t="shared" si="12"/>
        <v>3622680.9582521729</v>
      </c>
      <c r="H285" s="859">
        <f t="shared" si="13"/>
        <v>3622680.9582521729</v>
      </c>
      <c r="I285" s="865">
        <f t="shared" si="14"/>
        <v>0</v>
      </c>
      <c r="J285" s="453"/>
      <c r="K285" s="566">
        <v>1909994</v>
      </c>
      <c r="L285" s="459"/>
      <c r="M285" s="566">
        <v>1909994</v>
      </c>
      <c r="N285" s="459"/>
      <c r="O285" s="459"/>
      <c r="P285" s="4"/>
    </row>
    <row r="286" spans="1:16">
      <c r="C286" s="449">
        <f>IF(D277="","-",+C285+1)</f>
        <v>2019</v>
      </c>
      <c r="D286" s="412">
        <f t="shared" si="17"/>
        <v>25459246.468846142</v>
      </c>
      <c r="E286" s="456">
        <f t="shared" si="15"/>
        <v>732640.18615384598</v>
      </c>
      <c r="F286" s="412">
        <f t="shared" si="16"/>
        <v>24726606.282692295</v>
      </c>
      <c r="G286" s="851">
        <f t="shared" si="12"/>
        <v>3540693.9859940647</v>
      </c>
      <c r="H286" s="854">
        <f t="shared" si="13"/>
        <v>3540693.9859940647</v>
      </c>
      <c r="I286" s="453">
        <f t="shared" si="14"/>
        <v>0</v>
      </c>
      <c r="J286" s="453"/>
      <c r="K286" s="566">
        <v>1902584</v>
      </c>
      <c r="L286" s="459"/>
      <c r="M286" s="566">
        <v>1902584</v>
      </c>
      <c r="N286" s="459"/>
      <c r="O286" s="459"/>
      <c r="P286" s="4"/>
    </row>
    <row r="287" spans="1:16">
      <c r="C287" s="449">
        <f>IF(D277="","-",+C286+1)</f>
        <v>2020</v>
      </c>
      <c r="D287" s="412">
        <f t="shared" si="17"/>
        <v>24726606.282692295</v>
      </c>
      <c r="E287" s="456">
        <f t="shared" si="15"/>
        <v>732640.18615384598</v>
      </c>
      <c r="F287" s="412">
        <f t="shared" si="16"/>
        <v>23993966.096538447</v>
      </c>
      <c r="G287" s="851">
        <f t="shared" si="12"/>
        <v>3458707.0137359556</v>
      </c>
      <c r="H287" s="854">
        <f t="shared" si="13"/>
        <v>3458707.0137359556</v>
      </c>
      <c r="I287" s="453">
        <f t="shared" si="14"/>
        <v>0</v>
      </c>
      <c r="J287" s="453"/>
      <c r="K287" s="566">
        <v>2304570.9304921119</v>
      </c>
      <c r="L287" s="459"/>
      <c r="M287" s="566">
        <v>2304570.9304921119</v>
      </c>
      <c r="N287" s="459"/>
      <c r="O287" s="459"/>
      <c r="P287" s="4"/>
    </row>
    <row r="288" spans="1:16">
      <c r="C288" s="449">
        <f>IF(D275="","-",+C287+1)</f>
        <v>2021</v>
      </c>
      <c r="D288" s="412">
        <f t="shared" si="17"/>
        <v>23993966.096538447</v>
      </c>
      <c r="E288" s="456">
        <f t="shared" si="15"/>
        <v>732640.18615384598</v>
      </c>
      <c r="F288" s="412">
        <f t="shared" si="16"/>
        <v>23261325.910384599</v>
      </c>
      <c r="G288" s="851">
        <f t="shared" si="12"/>
        <v>3376720.0414778469</v>
      </c>
      <c r="H288" s="854">
        <f t="shared" si="13"/>
        <v>3376720.0414778469</v>
      </c>
      <c r="I288" s="453">
        <f t="shared" si="14"/>
        <v>0</v>
      </c>
      <c r="J288" s="453"/>
      <c r="K288" s="566">
        <v>3141410.4901078856</v>
      </c>
      <c r="L288" s="459"/>
      <c r="M288" s="566">
        <v>3141410.4901078856</v>
      </c>
      <c r="N288" s="459"/>
      <c r="O288" s="459"/>
      <c r="P288" s="4"/>
    </row>
    <row r="289" spans="3:16">
      <c r="C289" s="449">
        <f>IF(D280="","-",+C288+1)</f>
        <v>2022</v>
      </c>
      <c r="D289" s="412">
        <f t="shared" si="17"/>
        <v>23261325.910384599</v>
      </c>
      <c r="E289" s="456">
        <f t="shared" si="15"/>
        <v>732640.18615384598</v>
      </c>
      <c r="F289" s="412">
        <f t="shared" si="16"/>
        <v>22528685.724230751</v>
      </c>
      <c r="G289" s="851">
        <f t="shared" si="12"/>
        <v>3294733.0692197378</v>
      </c>
      <c r="H289" s="854">
        <f t="shared" si="13"/>
        <v>3294733.0692197378</v>
      </c>
      <c r="I289" s="453">
        <f t="shared" si="14"/>
        <v>0</v>
      </c>
      <c r="J289" s="453"/>
      <c r="K289" s="566">
        <v>3099440.2308815834</v>
      </c>
      <c r="L289" s="459"/>
      <c r="M289" s="566">
        <v>3099440.2308815834</v>
      </c>
      <c r="N289" s="459"/>
      <c r="O289" s="459"/>
      <c r="P289" s="4"/>
    </row>
    <row r="290" spans="3:16">
      <c r="C290" s="449">
        <f>IF(D280="","-",+C289+1)</f>
        <v>2023</v>
      </c>
      <c r="D290" s="412">
        <f t="shared" si="17"/>
        <v>22528685.724230751</v>
      </c>
      <c r="E290" s="456">
        <f t="shared" si="15"/>
        <v>732640.18615384598</v>
      </c>
      <c r="F290" s="412">
        <f t="shared" si="16"/>
        <v>21796045.538076904</v>
      </c>
      <c r="G290" s="851">
        <f t="shared" si="12"/>
        <v>3212746.0969616296</v>
      </c>
      <c r="H290" s="854">
        <f t="shared" si="13"/>
        <v>3212746.0969616296</v>
      </c>
      <c r="I290" s="453">
        <f t="shared" si="14"/>
        <v>0</v>
      </c>
      <c r="J290" s="453"/>
      <c r="K290" s="566">
        <v>3188927.0201244252</v>
      </c>
      <c r="L290" s="459"/>
      <c r="M290" s="566">
        <v>3188927.0201244252</v>
      </c>
      <c r="N290" s="459"/>
      <c r="O290" s="459"/>
      <c r="P290" s="4"/>
    </row>
    <row r="291" spans="3:16">
      <c r="C291" s="449">
        <f>IF(D275="","-",+C290+1)</f>
        <v>2024</v>
      </c>
      <c r="D291" s="412">
        <f t="shared" si="17"/>
        <v>21796045.538076904</v>
      </c>
      <c r="E291" s="456">
        <f t="shared" si="15"/>
        <v>732640.18615384598</v>
      </c>
      <c r="F291" s="412">
        <f t="shared" si="16"/>
        <v>21063405.351923056</v>
      </c>
      <c r="G291" s="851">
        <f t="shared" si="12"/>
        <v>3130759.1247035204</v>
      </c>
      <c r="H291" s="854">
        <f t="shared" si="13"/>
        <v>3130759.1247035204</v>
      </c>
      <c r="I291" s="453">
        <f t="shared" si="14"/>
        <v>0</v>
      </c>
      <c r="J291" s="453"/>
      <c r="K291" s="566">
        <v>3094242.4500530576</v>
      </c>
      <c r="L291" s="459"/>
      <c r="M291" s="566">
        <v>3094242.4500530576</v>
      </c>
      <c r="N291" s="459"/>
      <c r="O291" s="459"/>
      <c r="P291" s="4"/>
    </row>
    <row r="292" spans="3:16">
      <c r="C292" s="449">
        <f>IF(D275="","-",+C291+1)</f>
        <v>2025</v>
      </c>
      <c r="D292" s="412">
        <f t="shared" si="17"/>
        <v>21063405.351923056</v>
      </c>
      <c r="E292" s="456">
        <f t="shared" si="15"/>
        <v>732640.18615384598</v>
      </c>
      <c r="F292" s="412">
        <f t="shared" si="16"/>
        <v>20330765.165769208</v>
      </c>
      <c r="G292" s="851">
        <f t="shared" si="12"/>
        <v>3048772.1524454118</v>
      </c>
      <c r="H292" s="854">
        <f t="shared" si="13"/>
        <v>3048772.1524454118</v>
      </c>
      <c r="I292" s="453">
        <f t="shared" si="14"/>
        <v>0</v>
      </c>
      <c r="J292" s="453"/>
      <c r="K292" s="566">
        <v>3027628.2195894858</v>
      </c>
      <c r="L292" s="459"/>
      <c r="M292" s="566">
        <v>3027628.2195894858</v>
      </c>
      <c r="N292" s="459"/>
      <c r="O292" s="459"/>
      <c r="P292" s="4"/>
    </row>
    <row r="293" spans="3:16">
      <c r="C293" s="855">
        <f>IF(D275="","-",+C292+1)</f>
        <v>2026</v>
      </c>
      <c r="D293" s="412">
        <f t="shared" si="17"/>
        <v>20330765.165769208</v>
      </c>
      <c r="E293" s="456">
        <f t="shared" si="15"/>
        <v>732640.18615384598</v>
      </c>
      <c r="F293" s="412">
        <f t="shared" si="16"/>
        <v>19598124.97961536</v>
      </c>
      <c r="G293" s="851">
        <f t="shared" si="12"/>
        <v>2966785.1801873026</v>
      </c>
      <c r="H293" s="854">
        <f t="shared" si="13"/>
        <v>2966785.1801873026</v>
      </c>
      <c r="I293" s="453">
        <f t="shared" si="14"/>
        <v>0</v>
      </c>
      <c r="J293" s="453"/>
      <c r="K293" s="566"/>
      <c r="L293" s="459"/>
      <c r="M293" s="566"/>
      <c r="N293" s="460"/>
      <c r="O293" s="459"/>
      <c r="P293" s="4"/>
    </row>
    <row r="294" spans="3:16">
      <c r="C294" s="449">
        <f>IF(D275="","-",+C293+1)</f>
        <v>2027</v>
      </c>
      <c r="D294" s="412">
        <f t="shared" si="17"/>
        <v>19598124.97961536</v>
      </c>
      <c r="E294" s="456">
        <f t="shared" si="15"/>
        <v>732640.18615384598</v>
      </c>
      <c r="F294" s="412">
        <f t="shared" si="16"/>
        <v>18865484.793461513</v>
      </c>
      <c r="G294" s="851">
        <f t="shared" si="12"/>
        <v>2884798.2079291944</v>
      </c>
      <c r="H294" s="854">
        <f t="shared" si="13"/>
        <v>2884798.2079291944</v>
      </c>
      <c r="I294" s="453">
        <f t="shared" si="14"/>
        <v>0</v>
      </c>
      <c r="J294" s="453"/>
      <c r="K294" s="566"/>
      <c r="L294" s="459"/>
      <c r="M294" s="566"/>
      <c r="N294" s="459"/>
      <c r="O294" s="459"/>
      <c r="P294" s="4"/>
    </row>
    <row r="295" spans="3:16">
      <c r="C295" s="449">
        <f>IF(D275="","-",+C294+1)</f>
        <v>2028</v>
      </c>
      <c r="D295" s="412">
        <f t="shared" si="17"/>
        <v>18865484.793461513</v>
      </c>
      <c r="E295" s="456">
        <f t="shared" si="15"/>
        <v>732640.18615384598</v>
      </c>
      <c r="F295" s="412">
        <f t="shared" si="16"/>
        <v>18132844.607307665</v>
      </c>
      <c r="G295" s="851">
        <f t="shared" si="12"/>
        <v>2802811.2356710853</v>
      </c>
      <c r="H295" s="854">
        <f t="shared" si="13"/>
        <v>2802811.2356710853</v>
      </c>
      <c r="I295" s="453">
        <f t="shared" si="14"/>
        <v>0</v>
      </c>
      <c r="J295" s="453"/>
      <c r="K295" s="566"/>
      <c r="L295" s="459"/>
      <c r="M295" s="566"/>
      <c r="N295" s="459"/>
      <c r="O295" s="459"/>
      <c r="P295" s="4"/>
    </row>
    <row r="296" spans="3:16">
      <c r="C296" s="449">
        <f>IF(D275="","-",+C295+1)</f>
        <v>2029</v>
      </c>
      <c r="D296" s="412">
        <f t="shared" si="17"/>
        <v>18132844.607307665</v>
      </c>
      <c r="E296" s="456">
        <f t="shared" si="15"/>
        <v>732640.18615384598</v>
      </c>
      <c r="F296" s="412">
        <f t="shared" si="16"/>
        <v>17400204.421153817</v>
      </c>
      <c r="G296" s="851">
        <f t="shared" si="12"/>
        <v>2720824.2634129771</v>
      </c>
      <c r="H296" s="854">
        <f t="shared" si="13"/>
        <v>2720824.2634129771</v>
      </c>
      <c r="I296" s="453">
        <f t="shared" si="14"/>
        <v>0</v>
      </c>
      <c r="J296" s="453"/>
      <c r="K296" s="566"/>
      <c r="L296" s="459"/>
      <c r="M296" s="566"/>
      <c r="N296" s="459"/>
      <c r="O296" s="459"/>
      <c r="P296" s="4"/>
    </row>
    <row r="297" spans="3:16">
      <c r="C297" s="449">
        <f>IF(D275="","-",+C296+1)</f>
        <v>2030</v>
      </c>
      <c r="D297" s="412">
        <f t="shared" si="17"/>
        <v>17400204.421153817</v>
      </c>
      <c r="E297" s="456">
        <f t="shared" si="15"/>
        <v>732640.18615384598</v>
      </c>
      <c r="F297" s="412">
        <f t="shared" si="16"/>
        <v>16667564.234999971</v>
      </c>
      <c r="G297" s="851">
        <f t="shared" si="12"/>
        <v>2638837.291154868</v>
      </c>
      <c r="H297" s="854">
        <f t="shared" si="13"/>
        <v>2638837.291154868</v>
      </c>
      <c r="I297" s="453">
        <f t="shared" si="14"/>
        <v>0</v>
      </c>
      <c r="J297" s="453"/>
      <c r="K297" s="566"/>
      <c r="L297" s="459"/>
      <c r="M297" s="566"/>
      <c r="N297" s="459"/>
      <c r="O297" s="459"/>
      <c r="P297" s="4"/>
    </row>
    <row r="298" spans="3:16">
      <c r="C298" s="449">
        <f>IF(D275="","-",+C297+1)</f>
        <v>2031</v>
      </c>
      <c r="D298" s="412">
        <f t="shared" si="17"/>
        <v>16667564.234999971</v>
      </c>
      <c r="E298" s="456">
        <f t="shared" si="15"/>
        <v>732640.18615384598</v>
      </c>
      <c r="F298" s="412">
        <f t="shared" si="16"/>
        <v>15934924.048846126</v>
      </c>
      <c r="G298" s="851">
        <f t="shared" si="12"/>
        <v>2556850.3188967593</v>
      </c>
      <c r="H298" s="854">
        <f t="shared" si="13"/>
        <v>2556850.3188967593</v>
      </c>
      <c r="I298" s="453">
        <f t="shared" si="14"/>
        <v>0</v>
      </c>
      <c r="J298" s="453"/>
      <c r="K298" s="566"/>
      <c r="L298" s="459"/>
      <c r="M298" s="566"/>
      <c r="N298" s="459"/>
      <c r="O298" s="459"/>
      <c r="P298" s="4"/>
    </row>
    <row r="299" spans="3:16">
      <c r="C299" s="449">
        <f>IF(D275="","-",+C298+1)</f>
        <v>2032</v>
      </c>
      <c r="D299" s="412">
        <f t="shared" si="17"/>
        <v>15934924.048846126</v>
      </c>
      <c r="E299" s="456">
        <f t="shared" si="15"/>
        <v>732640.18615384598</v>
      </c>
      <c r="F299" s="412">
        <f t="shared" si="16"/>
        <v>15202283.86269228</v>
      </c>
      <c r="G299" s="851">
        <f t="shared" si="12"/>
        <v>2474863.3466386511</v>
      </c>
      <c r="H299" s="854">
        <f t="shared" si="13"/>
        <v>2474863.3466386511</v>
      </c>
      <c r="I299" s="453">
        <f t="shared" si="14"/>
        <v>0</v>
      </c>
      <c r="J299" s="453"/>
      <c r="K299" s="566"/>
      <c r="L299" s="459"/>
      <c r="M299" s="566"/>
      <c r="N299" s="459"/>
      <c r="O299" s="459"/>
      <c r="P299" s="4"/>
    </row>
    <row r="300" spans="3:16">
      <c r="C300" s="449">
        <f>IF(D275="","-",+C299+1)</f>
        <v>2033</v>
      </c>
      <c r="D300" s="412">
        <f t="shared" si="17"/>
        <v>15202283.86269228</v>
      </c>
      <c r="E300" s="456">
        <f t="shared" si="15"/>
        <v>732640.18615384598</v>
      </c>
      <c r="F300" s="412">
        <f t="shared" si="16"/>
        <v>14469643.676538434</v>
      </c>
      <c r="G300" s="851">
        <f t="shared" si="12"/>
        <v>2392876.3743805424</v>
      </c>
      <c r="H300" s="854">
        <f t="shared" si="13"/>
        <v>2392876.3743805424</v>
      </c>
      <c r="I300" s="453">
        <f t="shared" si="14"/>
        <v>0</v>
      </c>
      <c r="J300" s="453"/>
      <c r="K300" s="566"/>
      <c r="L300" s="459"/>
      <c r="M300" s="566"/>
      <c r="N300" s="459"/>
      <c r="O300" s="459"/>
      <c r="P300" s="4"/>
    </row>
    <row r="301" spans="3:16">
      <c r="C301" s="449">
        <f>IF(D275="","-",+C300+1)</f>
        <v>2034</v>
      </c>
      <c r="D301" s="412">
        <f t="shared" si="17"/>
        <v>14469643.676538434</v>
      </c>
      <c r="E301" s="456">
        <f t="shared" si="15"/>
        <v>732640.18615384598</v>
      </c>
      <c r="F301" s="412">
        <f t="shared" si="16"/>
        <v>13737003.490384588</v>
      </c>
      <c r="G301" s="851">
        <f t="shared" si="12"/>
        <v>2310889.4021224338</v>
      </c>
      <c r="H301" s="854">
        <f t="shared" si="13"/>
        <v>2310889.4021224338</v>
      </c>
      <c r="I301" s="453">
        <f t="shared" si="14"/>
        <v>0</v>
      </c>
      <c r="J301" s="453"/>
      <c r="K301" s="566"/>
      <c r="L301" s="459"/>
      <c r="M301" s="566"/>
      <c r="N301" s="459"/>
      <c r="O301" s="459"/>
      <c r="P301" s="4"/>
    </row>
    <row r="302" spans="3:16">
      <c r="C302" s="449">
        <f>IF(D275="","-",+C301+1)</f>
        <v>2035</v>
      </c>
      <c r="D302" s="412">
        <f t="shared" si="17"/>
        <v>13737003.490384588</v>
      </c>
      <c r="E302" s="456">
        <f t="shared" si="15"/>
        <v>732640.18615384598</v>
      </c>
      <c r="F302" s="412">
        <f t="shared" si="16"/>
        <v>13004363.304230742</v>
      </c>
      <c r="G302" s="851">
        <f t="shared" si="12"/>
        <v>2228902.4298643251</v>
      </c>
      <c r="H302" s="854">
        <f t="shared" si="13"/>
        <v>2228902.4298643251</v>
      </c>
      <c r="I302" s="453">
        <f t="shared" si="14"/>
        <v>0</v>
      </c>
      <c r="J302" s="453"/>
      <c r="K302" s="566"/>
      <c r="L302" s="459"/>
      <c r="M302" s="566"/>
      <c r="N302" s="459"/>
      <c r="O302" s="459"/>
      <c r="P302" s="4"/>
    </row>
    <row r="303" spans="3:16">
      <c r="C303" s="449">
        <f>IF(D275="","-",+C302+1)</f>
        <v>2036</v>
      </c>
      <c r="D303" s="412">
        <f t="shared" si="17"/>
        <v>13004363.304230742</v>
      </c>
      <c r="E303" s="456">
        <f t="shared" si="15"/>
        <v>732640.18615384598</v>
      </c>
      <c r="F303" s="412">
        <f t="shared" si="16"/>
        <v>12271723.118076896</v>
      </c>
      <c r="G303" s="851">
        <f t="shared" si="12"/>
        <v>2146915.4576062169</v>
      </c>
      <c r="H303" s="854">
        <f t="shared" si="13"/>
        <v>2146915.4576062169</v>
      </c>
      <c r="I303" s="453">
        <f t="shared" si="14"/>
        <v>0</v>
      </c>
      <c r="J303" s="453"/>
      <c r="K303" s="566"/>
      <c r="L303" s="459"/>
      <c r="M303" s="566"/>
      <c r="N303" s="459"/>
      <c r="O303" s="459"/>
      <c r="P303" s="4"/>
    </row>
    <row r="304" spans="3:16">
      <c r="C304" s="449">
        <f>IF(D275="","-",+C303+1)</f>
        <v>2037</v>
      </c>
      <c r="D304" s="412">
        <f t="shared" si="17"/>
        <v>12271723.118076896</v>
      </c>
      <c r="E304" s="456">
        <f t="shared" si="15"/>
        <v>732640.18615384598</v>
      </c>
      <c r="F304" s="412">
        <f t="shared" si="16"/>
        <v>11539082.93192305</v>
      </c>
      <c r="G304" s="851">
        <f t="shared" si="12"/>
        <v>2064928.4853481078</v>
      </c>
      <c r="H304" s="854">
        <f t="shared" si="13"/>
        <v>2064928.4853481078</v>
      </c>
      <c r="I304" s="453">
        <f t="shared" si="14"/>
        <v>0</v>
      </c>
      <c r="J304" s="453"/>
      <c r="K304" s="566"/>
      <c r="L304" s="459"/>
      <c r="M304" s="566"/>
      <c r="N304" s="459"/>
      <c r="O304" s="459"/>
      <c r="P304" s="4"/>
    </row>
    <row r="305" spans="3:16">
      <c r="C305" s="449">
        <f>IF(D275="","-",+C304+1)</f>
        <v>2038</v>
      </c>
      <c r="D305" s="412">
        <f t="shared" si="17"/>
        <v>11539082.93192305</v>
      </c>
      <c r="E305" s="456">
        <f t="shared" si="15"/>
        <v>732640.18615384598</v>
      </c>
      <c r="F305" s="412">
        <f t="shared" si="16"/>
        <v>10806442.745769205</v>
      </c>
      <c r="G305" s="851">
        <f t="shared" si="12"/>
        <v>1982941.5130899996</v>
      </c>
      <c r="H305" s="854">
        <f t="shared" si="13"/>
        <v>1982941.5130899996</v>
      </c>
      <c r="I305" s="453">
        <f t="shared" si="14"/>
        <v>0</v>
      </c>
      <c r="J305" s="453"/>
      <c r="K305" s="566"/>
      <c r="L305" s="459"/>
      <c r="M305" s="566"/>
      <c r="N305" s="459"/>
      <c r="O305" s="459"/>
      <c r="P305" s="4"/>
    </row>
    <row r="306" spans="3:16">
      <c r="C306" s="449">
        <f>IF(D275="","-",+C305+1)</f>
        <v>2039</v>
      </c>
      <c r="D306" s="412">
        <f t="shared" si="17"/>
        <v>10806442.745769205</v>
      </c>
      <c r="E306" s="456">
        <f t="shared" si="15"/>
        <v>732640.18615384598</v>
      </c>
      <c r="F306" s="412">
        <f t="shared" si="16"/>
        <v>10073802.559615359</v>
      </c>
      <c r="G306" s="851">
        <f t="shared" si="12"/>
        <v>1900954.5408318909</v>
      </c>
      <c r="H306" s="854">
        <f t="shared" si="13"/>
        <v>1900954.5408318909</v>
      </c>
      <c r="I306" s="453">
        <f t="shared" si="14"/>
        <v>0</v>
      </c>
      <c r="J306" s="453"/>
      <c r="K306" s="566"/>
      <c r="L306" s="459"/>
      <c r="M306" s="566"/>
      <c r="N306" s="459"/>
      <c r="O306" s="459"/>
      <c r="P306" s="4"/>
    </row>
    <row r="307" spans="3:16">
      <c r="C307" s="449">
        <f>IF(D275="","-",+C306+1)</f>
        <v>2040</v>
      </c>
      <c r="D307" s="412">
        <f t="shared" si="17"/>
        <v>10073802.559615359</v>
      </c>
      <c r="E307" s="456">
        <f t="shared" si="15"/>
        <v>732640.18615384598</v>
      </c>
      <c r="F307" s="412">
        <f t="shared" si="16"/>
        <v>9341162.3734615128</v>
      </c>
      <c r="G307" s="851">
        <f t="shared" si="12"/>
        <v>1818967.5685737822</v>
      </c>
      <c r="H307" s="854">
        <f t="shared" si="13"/>
        <v>1818967.5685737822</v>
      </c>
      <c r="I307" s="453">
        <f t="shared" si="14"/>
        <v>0</v>
      </c>
      <c r="J307" s="453"/>
      <c r="K307" s="566"/>
      <c r="L307" s="459"/>
      <c r="M307" s="566"/>
      <c r="N307" s="459"/>
      <c r="O307" s="459"/>
      <c r="P307" s="4"/>
    </row>
    <row r="308" spans="3:16">
      <c r="C308" s="449">
        <f>IF(D275="","-",+C307+1)</f>
        <v>2041</v>
      </c>
      <c r="D308" s="412">
        <f t="shared" si="17"/>
        <v>9341162.3734615128</v>
      </c>
      <c r="E308" s="456">
        <f t="shared" si="15"/>
        <v>732640.18615384598</v>
      </c>
      <c r="F308" s="412">
        <f t="shared" si="16"/>
        <v>8608522.187307667</v>
      </c>
      <c r="G308" s="851">
        <f t="shared" si="12"/>
        <v>1736980.5963156736</v>
      </c>
      <c r="H308" s="854">
        <f t="shared" si="13"/>
        <v>1736980.5963156736</v>
      </c>
      <c r="I308" s="453">
        <f t="shared" si="14"/>
        <v>0</v>
      </c>
      <c r="J308" s="453"/>
      <c r="K308" s="566"/>
      <c r="L308" s="459"/>
      <c r="M308" s="566"/>
      <c r="N308" s="459"/>
      <c r="O308" s="459"/>
      <c r="P308" s="4"/>
    </row>
    <row r="309" spans="3:16">
      <c r="C309" s="449">
        <f>IF(D275="","-",+C308+1)</f>
        <v>2042</v>
      </c>
      <c r="D309" s="412">
        <f t="shared" si="17"/>
        <v>8608522.187307667</v>
      </c>
      <c r="E309" s="456">
        <f t="shared" si="15"/>
        <v>732640.18615384598</v>
      </c>
      <c r="F309" s="412">
        <f t="shared" si="16"/>
        <v>7875882.0011538211</v>
      </c>
      <c r="G309" s="860">
        <f t="shared" si="12"/>
        <v>1654993.6240575651</v>
      </c>
      <c r="H309" s="854">
        <f t="shared" si="13"/>
        <v>1654993.6240575651</v>
      </c>
      <c r="I309" s="453">
        <f t="shared" si="14"/>
        <v>0</v>
      </c>
      <c r="J309" s="453"/>
      <c r="K309" s="566"/>
      <c r="L309" s="459"/>
      <c r="M309" s="566"/>
      <c r="N309" s="459"/>
      <c r="O309" s="459"/>
      <c r="P309" s="4"/>
    </row>
    <row r="310" spans="3:16">
      <c r="C310" s="449">
        <f>IF(D275="","-",+C309+1)</f>
        <v>2043</v>
      </c>
      <c r="D310" s="412">
        <f t="shared" si="17"/>
        <v>7875882.0011538211</v>
      </c>
      <c r="E310" s="456">
        <f t="shared" si="15"/>
        <v>732640.18615384598</v>
      </c>
      <c r="F310" s="412">
        <f t="shared" si="16"/>
        <v>7143241.8149999753</v>
      </c>
      <c r="G310" s="851">
        <f t="shared" si="12"/>
        <v>1573006.6517994564</v>
      </c>
      <c r="H310" s="854">
        <f t="shared" si="13"/>
        <v>1573006.6517994564</v>
      </c>
      <c r="I310" s="453">
        <f t="shared" si="14"/>
        <v>0</v>
      </c>
      <c r="J310" s="453"/>
      <c r="K310" s="566"/>
      <c r="L310" s="459"/>
      <c r="M310" s="566"/>
      <c r="N310" s="459"/>
      <c r="O310" s="459"/>
      <c r="P310" s="4"/>
    </row>
    <row r="311" spans="3:16">
      <c r="C311" s="449">
        <f>IF(D275="","-",+C310+1)</f>
        <v>2044</v>
      </c>
      <c r="D311" s="412">
        <f t="shared" si="17"/>
        <v>7143241.8149999753</v>
      </c>
      <c r="E311" s="456">
        <f t="shared" si="15"/>
        <v>732640.18615384598</v>
      </c>
      <c r="F311" s="412">
        <f t="shared" si="16"/>
        <v>6410601.6288461294</v>
      </c>
      <c r="G311" s="851">
        <f t="shared" si="12"/>
        <v>1491019.679541348</v>
      </c>
      <c r="H311" s="854">
        <f t="shared" si="13"/>
        <v>1491019.679541348</v>
      </c>
      <c r="I311" s="453">
        <f t="shared" si="14"/>
        <v>0</v>
      </c>
      <c r="J311" s="453"/>
      <c r="K311" s="566"/>
      <c r="L311" s="459"/>
      <c r="M311" s="566"/>
      <c r="N311" s="459"/>
      <c r="O311" s="459"/>
      <c r="P311" s="4"/>
    </row>
    <row r="312" spans="3:16">
      <c r="C312" s="449">
        <f>IF(D275="","-",+C311+1)</f>
        <v>2045</v>
      </c>
      <c r="D312" s="412">
        <f t="shared" si="17"/>
        <v>6410601.6288461294</v>
      </c>
      <c r="E312" s="456">
        <f t="shared" si="15"/>
        <v>732640.18615384598</v>
      </c>
      <c r="F312" s="412">
        <f t="shared" si="16"/>
        <v>5677961.4426922835</v>
      </c>
      <c r="G312" s="851">
        <f t="shared" si="12"/>
        <v>1409032.7072832393</v>
      </c>
      <c r="H312" s="854">
        <f t="shared" si="13"/>
        <v>1409032.7072832393</v>
      </c>
      <c r="I312" s="453">
        <f t="shared" si="14"/>
        <v>0</v>
      </c>
      <c r="J312" s="453"/>
      <c r="K312" s="566"/>
      <c r="L312" s="459"/>
      <c r="M312" s="566"/>
      <c r="N312" s="459"/>
      <c r="O312" s="459"/>
      <c r="P312" s="4"/>
    </row>
    <row r="313" spans="3:16">
      <c r="C313" s="449">
        <f>IF(D275="","-",+C312+1)</f>
        <v>2046</v>
      </c>
      <c r="D313" s="412">
        <f t="shared" si="17"/>
        <v>5677961.4426922835</v>
      </c>
      <c r="E313" s="456">
        <f t="shared" si="15"/>
        <v>732640.18615384598</v>
      </c>
      <c r="F313" s="412">
        <f t="shared" si="16"/>
        <v>4945321.2565384377</v>
      </c>
      <c r="G313" s="851">
        <f t="shared" si="12"/>
        <v>1327045.7350251307</v>
      </c>
      <c r="H313" s="854">
        <f t="shared" si="13"/>
        <v>1327045.7350251307</v>
      </c>
      <c r="I313" s="453">
        <f t="shared" si="14"/>
        <v>0</v>
      </c>
      <c r="J313" s="453"/>
      <c r="K313" s="566"/>
      <c r="L313" s="459"/>
      <c r="M313" s="566"/>
      <c r="N313" s="459"/>
      <c r="O313" s="459"/>
      <c r="P313" s="4"/>
    </row>
    <row r="314" spans="3:16">
      <c r="C314" s="449">
        <f>IF(D275="","-",+C313+1)</f>
        <v>2047</v>
      </c>
      <c r="D314" s="412">
        <f t="shared" si="17"/>
        <v>4945321.2565384377</v>
      </c>
      <c r="E314" s="456">
        <f t="shared" si="15"/>
        <v>732640.18615384598</v>
      </c>
      <c r="F314" s="412">
        <f t="shared" si="16"/>
        <v>4212681.0703845918</v>
      </c>
      <c r="G314" s="851">
        <f t="shared" si="12"/>
        <v>1245058.7627670222</v>
      </c>
      <c r="H314" s="854">
        <f t="shared" si="13"/>
        <v>1245058.7627670222</v>
      </c>
      <c r="I314" s="453">
        <f t="shared" si="14"/>
        <v>0</v>
      </c>
      <c r="J314" s="453"/>
      <c r="K314" s="566"/>
      <c r="L314" s="459"/>
      <c r="M314" s="566"/>
      <c r="N314" s="459"/>
      <c r="O314" s="459"/>
      <c r="P314" s="4"/>
    </row>
    <row r="315" spans="3:16">
      <c r="C315" s="449">
        <f>IF(D275="","-",+C314+1)</f>
        <v>2048</v>
      </c>
      <c r="D315" s="412">
        <f t="shared" si="17"/>
        <v>4212681.0703845918</v>
      </c>
      <c r="E315" s="456">
        <f t="shared" si="15"/>
        <v>732640.18615384598</v>
      </c>
      <c r="F315" s="412">
        <f t="shared" si="16"/>
        <v>3480040.884230746</v>
      </c>
      <c r="G315" s="851">
        <f t="shared" si="12"/>
        <v>1163071.7905089136</v>
      </c>
      <c r="H315" s="854">
        <f t="shared" si="13"/>
        <v>1163071.7905089136</v>
      </c>
      <c r="I315" s="453">
        <f t="shared" si="14"/>
        <v>0</v>
      </c>
      <c r="J315" s="453"/>
      <c r="K315" s="566"/>
      <c r="L315" s="459"/>
      <c r="M315" s="566"/>
      <c r="N315" s="459"/>
      <c r="O315" s="459"/>
      <c r="P315" s="4"/>
    </row>
    <row r="316" spans="3:16">
      <c r="C316" s="449">
        <f>IF(D275="","-",+C315+1)</f>
        <v>2049</v>
      </c>
      <c r="D316" s="412">
        <f t="shared" si="17"/>
        <v>3480040.884230746</v>
      </c>
      <c r="E316" s="456">
        <f t="shared" si="15"/>
        <v>732640.18615384598</v>
      </c>
      <c r="F316" s="412">
        <f t="shared" si="16"/>
        <v>2747400.6980769001</v>
      </c>
      <c r="G316" s="851">
        <f t="shared" si="12"/>
        <v>1081084.8182508051</v>
      </c>
      <c r="H316" s="854">
        <f t="shared" si="13"/>
        <v>1081084.8182508051</v>
      </c>
      <c r="I316" s="453">
        <f t="shared" si="14"/>
        <v>0</v>
      </c>
      <c r="J316" s="453"/>
      <c r="K316" s="566"/>
      <c r="L316" s="459"/>
      <c r="M316" s="566"/>
      <c r="N316" s="459"/>
      <c r="O316" s="459"/>
      <c r="P316" s="4"/>
    </row>
    <row r="317" spans="3:16">
      <c r="C317" s="449">
        <f>IF(D275="","-",+C316+1)</f>
        <v>2050</v>
      </c>
      <c r="D317" s="412">
        <f t="shared" si="17"/>
        <v>2747400.6980769001</v>
      </c>
      <c r="E317" s="456">
        <f t="shared" si="15"/>
        <v>732640.18615384598</v>
      </c>
      <c r="F317" s="412">
        <f t="shared" si="16"/>
        <v>2014760.5119230542</v>
      </c>
      <c r="G317" s="851">
        <f t="shared" si="12"/>
        <v>999097.84599269647</v>
      </c>
      <c r="H317" s="854">
        <f t="shared" si="13"/>
        <v>999097.84599269647</v>
      </c>
      <c r="I317" s="453">
        <f t="shared" si="14"/>
        <v>0</v>
      </c>
      <c r="J317" s="453"/>
      <c r="K317" s="566"/>
      <c r="L317" s="459"/>
      <c r="M317" s="566"/>
      <c r="N317" s="459"/>
      <c r="O317" s="459"/>
      <c r="P317" s="4"/>
    </row>
    <row r="318" spans="3:16">
      <c r="C318" s="449">
        <f>IF(D275="","-",+C317+1)</f>
        <v>2051</v>
      </c>
      <c r="D318" s="412">
        <f t="shared" si="17"/>
        <v>2014760.5119230542</v>
      </c>
      <c r="E318" s="456">
        <f t="shared" si="15"/>
        <v>732640.18615384598</v>
      </c>
      <c r="F318" s="412">
        <f t="shared" si="16"/>
        <v>1282120.3257692084</v>
      </c>
      <c r="G318" s="851">
        <f t="shared" si="12"/>
        <v>917110.8737345878</v>
      </c>
      <c r="H318" s="854">
        <f t="shared" si="13"/>
        <v>917110.8737345878</v>
      </c>
      <c r="I318" s="453">
        <f t="shared" si="14"/>
        <v>0</v>
      </c>
      <c r="J318" s="453"/>
      <c r="K318" s="566"/>
      <c r="L318" s="459"/>
      <c r="M318" s="566"/>
      <c r="N318" s="459"/>
      <c r="O318" s="459"/>
      <c r="P318" s="4"/>
    </row>
    <row r="319" spans="3:16">
      <c r="C319" s="449">
        <f>IF(D275="","-",+C318+1)</f>
        <v>2052</v>
      </c>
      <c r="D319" s="412">
        <f t="shared" si="17"/>
        <v>1282120.3257692084</v>
      </c>
      <c r="E319" s="456">
        <f t="shared" si="15"/>
        <v>732640.18615384598</v>
      </c>
      <c r="F319" s="412">
        <f t="shared" si="16"/>
        <v>549480.13961536239</v>
      </c>
      <c r="G319" s="851">
        <f t="shared" si="12"/>
        <v>835123.90147647925</v>
      </c>
      <c r="H319" s="854">
        <f t="shared" si="13"/>
        <v>835123.90147647925</v>
      </c>
      <c r="I319" s="453">
        <f t="shared" si="14"/>
        <v>0</v>
      </c>
      <c r="J319" s="453"/>
      <c r="K319" s="566"/>
      <c r="L319" s="459"/>
      <c r="M319" s="566"/>
      <c r="N319" s="459"/>
      <c r="O319" s="459"/>
      <c r="P319" s="4"/>
    </row>
    <row r="320" spans="3:16">
      <c r="C320" s="449">
        <f>IF(D275="","-",+C319+1)</f>
        <v>2053</v>
      </c>
      <c r="D320" s="412">
        <f t="shared" si="17"/>
        <v>549480.13961536239</v>
      </c>
      <c r="E320" s="456">
        <f t="shared" si="15"/>
        <v>549480.13961536239</v>
      </c>
      <c r="F320" s="412">
        <f t="shared" si="16"/>
        <v>0</v>
      </c>
      <c r="G320" s="851">
        <f t="shared" si="12"/>
        <v>580225.25421215186</v>
      </c>
      <c r="H320" s="854">
        <f t="shared" si="13"/>
        <v>580225.25421215186</v>
      </c>
      <c r="I320" s="453">
        <f t="shared" si="14"/>
        <v>0</v>
      </c>
      <c r="J320" s="453"/>
      <c r="K320" s="566"/>
      <c r="L320" s="459"/>
      <c r="M320" s="566"/>
      <c r="N320" s="459"/>
      <c r="O320" s="459"/>
      <c r="P320" s="4"/>
    </row>
    <row r="321" spans="3:16">
      <c r="C321" s="449">
        <f>IF(D275="","-",+C320+1)</f>
        <v>2054</v>
      </c>
      <c r="D321" s="412">
        <f t="shared" si="17"/>
        <v>0</v>
      </c>
      <c r="E321" s="456">
        <f t="shared" si="15"/>
        <v>0</v>
      </c>
      <c r="F321" s="412">
        <f t="shared" si="16"/>
        <v>0</v>
      </c>
      <c r="G321" s="851">
        <f t="shared" si="12"/>
        <v>0</v>
      </c>
      <c r="H321" s="854">
        <f t="shared" si="13"/>
        <v>0</v>
      </c>
      <c r="I321" s="453">
        <f t="shared" si="14"/>
        <v>0</v>
      </c>
      <c r="J321" s="453"/>
      <c r="K321" s="566"/>
      <c r="L321" s="459"/>
      <c r="M321" s="566"/>
      <c r="N321" s="459"/>
      <c r="O321" s="459"/>
      <c r="P321" s="4"/>
    </row>
    <row r="322" spans="3:16">
      <c r="C322" s="449">
        <f>IF(D275="","-",+C321+1)</f>
        <v>2055</v>
      </c>
      <c r="D322" s="412">
        <f t="shared" si="17"/>
        <v>0</v>
      </c>
      <c r="E322" s="456">
        <f t="shared" si="15"/>
        <v>0</v>
      </c>
      <c r="F322" s="412">
        <f t="shared" si="16"/>
        <v>0</v>
      </c>
      <c r="G322" s="851">
        <f t="shared" si="12"/>
        <v>0</v>
      </c>
      <c r="H322" s="854">
        <f t="shared" si="13"/>
        <v>0</v>
      </c>
      <c r="I322" s="453">
        <f t="shared" si="14"/>
        <v>0</v>
      </c>
      <c r="J322" s="453"/>
      <c r="K322" s="566"/>
      <c r="L322" s="459"/>
      <c r="M322" s="566"/>
      <c r="N322" s="459"/>
      <c r="O322" s="459"/>
      <c r="P322" s="4"/>
    </row>
    <row r="323" spans="3:16">
      <c r="C323" s="449">
        <f>IF(D275="","-",+C322+1)</f>
        <v>2056</v>
      </c>
      <c r="D323" s="412">
        <f t="shared" si="17"/>
        <v>0</v>
      </c>
      <c r="E323" s="456">
        <f t="shared" si="15"/>
        <v>0</v>
      </c>
      <c r="F323" s="412">
        <f t="shared" si="16"/>
        <v>0</v>
      </c>
      <c r="G323" s="851">
        <f t="shared" si="12"/>
        <v>0</v>
      </c>
      <c r="H323" s="854">
        <f t="shared" si="13"/>
        <v>0</v>
      </c>
      <c r="I323" s="453">
        <f t="shared" si="14"/>
        <v>0</v>
      </c>
      <c r="J323" s="453"/>
      <c r="K323" s="566"/>
      <c r="L323" s="459"/>
      <c r="M323" s="566"/>
      <c r="N323" s="459"/>
      <c r="O323" s="459"/>
      <c r="P323" s="4"/>
    </row>
    <row r="324" spans="3:16">
      <c r="C324" s="449">
        <f>IF(D275="","-",+C323+1)</f>
        <v>2057</v>
      </c>
      <c r="D324" s="412">
        <f t="shared" si="17"/>
        <v>0</v>
      </c>
      <c r="E324" s="456">
        <f t="shared" si="15"/>
        <v>0</v>
      </c>
      <c r="F324" s="412">
        <f t="shared" si="16"/>
        <v>0</v>
      </c>
      <c r="G324" s="851">
        <f t="shared" si="12"/>
        <v>0</v>
      </c>
      <c r="H324" s="854">
        <f t="shared" si="13"/>
        <v>0</v>
      </c>
      <c r="I324" s="453">
        <f t="shared" si="14"/>
        <v>0</v>
      </c>
      <c r="J324" s="453"/>
      <c r="K324" s="566"/>
      <c r="L324" s="459"/>
      <c r="M324" s="566"/>
      <c r="N324" s="459"/>
      <c r="O324" s="459"/>
      <c r="P324" s="4"/>
    </row>
    <row r="325" spans="3:16">
      <c r="C325" s="449">
        <f>IF(D275="","-",+C324+1)</f>
        <v>2058</v>
      </c>
      <c r="D325" s="412">
        <f t="shared" si="17"/>
        <v>0</v>
      </c>
      <c r="E325" s="456">
        <f t="shared" si="15"/>
        <v>0</v>
      </c>
      <c r="F325" s="412">
        <f t="shared" si="16"/>
        <v>0</v>
      </c>
      <c r="G325" s="851">
        <f t="shared" si="12"/>
        <v>0</v>
      </c>
      <c r="H325" s="854">
        <f t="shared" si="13"/>
        <v>0</v>
      </c>
      <c r="I325" s="453">
        <f t="shared" si="14"/>
        <v>0</v>
      </c>
      <c r="J325" s="453"/>
      <c r="K325" s="566"/>
      <c r="L325" s="459"/>
      <c r="M325" s="566"/>
      <c r="N325" s="459"/>
      <c r="O325" s="459"/>
      <c r="P325" s="4"/>
    </row>
    <row r="326" spans="3:16">
      <c r="C326" s="449">
        <f>IF(D275="","-",+C325+1)</f>
        <v>2059</v>
      </c>
      <c r="D326" s="412">
        <f t="shared" si="17"/>
        <v>0</v>
      </c>
      <c r="E326" s="456">
        <f t="shared" si="15"/>
        <v>0</v>
      </c>
      <c r="F326" s="412">
        <f t="shared" si="16"/>
        <v>0</v>
      </c>
      <c r="G326" s="851">
        <f t="shared" si="12"/>
        <v>0</v>
      </c>
      <c r="H326" s="854">
        <f t="shared" si="13"/>
        <v>0</v>
      </c>
      <c r="I326" s="453">
        <f t="shared" si="14"/>
        <v>0</v>
      </c>
      <c r="J326" s="453"/>
      <c r="K326" s="566"/>
      <c r="L326" s="459"/>
      <c r="M326" s="566"/>
      <c r="N326" s="459"/>
      <c r="O326" s="459"/>
      <c r="P326" s="4"/>
    </row>
    <row r="327" spans="3:16">
      <c r="C327" s="449">
        <f>IF(D275="","-",+C326+1)</f>
        <v>2060</v>
      </c>
      <c r="D327" s="412">
        <f t="shared" si="17"/>
        <v>0</v>
      </c>
      <c r="E327" s="456">
        <f t="shared" si="15"/>
        <v>0</v>
      </c>
      <c r="F327" s="412">
        <f t="shared" si="16"/>
        <v>0</v>
      </c>
      <c r="G327" s="851">
        <f t="shared" si="12"/>
        <v>0</v>
      </c>
      <c r="H327" s="854">
        <f t="shared" si="13"/>
        <v>0</v>
      </c>
      <c r="I327" s="453">
        <f t="shared" si="14"/>
        <v>0</v>
      </c>
      <c r="J327" s="453"/>
      <c r="K327" s="566"/>
      <c r="L327" s="459"/>
      <c r="M327" s="566"/>
      <c r="N327" s="459"/>
      <c r="O327" s="459"/>
      <c r="P327" s="4"/>
    </row>
    <row r="328" spans="3:16">
      <c r="C328" s="449">
        <f>IF(D275="","-",+C327+1)</f>
        <v>2061</v>
      </c>
      <c r="D328" s="412">
        <f t="shared" si="17"/>
        <v>0</v>
      </c>
      <c r="E328" s="456">
        <f t="shared" si="15"/>
        <v>0</v>
      </c>
      <c r="F328" s="412">
        <f t="shared" si="16"/>
        <v>0</v>
      </c>
      <c r="G328" s="851">
        <f t="shared" si="12"/>
        <v>0</v>
      </c>
      <c r="H328" s="854">
        <f t="shared" si="13"/>
        <v>0</v>
      </c>
      <c r="I328" s="453">
        <f t="shared" si="14"/>
        <v>0</v>
      </c>
      <c r="J328" s="453"/>
      <c r="K328" s="566"/>
      <c r="L328" s="459"/>
      <c r="M328" s="566"/>
      <c r="N328" s="459"/>
      <c r="O328" s="459"/>
      <c r="P328" s="4"/>
    </row>
    <row r="329" spans="3:16">
      <c r="C329" s="449">
        <f>IF(D275="","-",+C328+1)</f>
        <v>2062</v>
      </c>
      <c r="D329" s="412">
        <f t="shared" si="17"/>
        <v>0</v>
      </c>
      <c r="E329" s="456">
        <f t="shared" si="15"/>
        <v>0</v>
      </c>
      <c r="F329" s="412">
        <f t="shared" si="16"/>
        <v>0</v>
      </c>
      <c r="G329" s="851">
        <f t="shared" si="12"/>
        <v>0</v>
      </c>
      <c r="H329" s="854">
        <f t="shared" si="13"/>
        <v>0</v>
      </c>
      <c r="I329" s="453">
        <f t="shared" si="14"/>
        <v>0</v>
      </c>
      <c r="J329" s="453"/>
      <c r="K329" s="566"/>
      <c r="L329" s="459"/>
      <c r="M329" s="566"/>
      <c r="N329" s="459"/>
      <c r="O329" s="459"/>
      <c r="P329" s="4"/>
    </row>
    <row r="330" spans="3:16">
      <c r="C330" s="449">
        <f>IF(D275="","-",+C329+1)</f>
        <v>2063</v>
      </c>
      <c r="D330" s="412">
        <f t="shared" si="17"/>
        <v>0</v>
      </c>
      <c r="E330" s="456">
        <f t="shared" si="15"/>
        <v>0</v>
      </c>
      <c r="F330" s="412">
        <f t="shared" si="16"/>
        <v>0</v>
      </c>
      <c r="G330" s="851">
        <f t="shared" si="12"/>
        <v>0</v>
      </c>
      <c r="H330" s="854">
        <f t="shared" si="13"/>
        <v>0</v>
      </c>
      <c r="I330" s="453">
        <f t="shared" si="14"/>
        <v>0</v>
      </c>
      <c r="J330" s="453"/>
      <c r="K330" s="566"/>
      <c r="L330" s="459"/>
      <c r="M330" s="566"/>
      <c r="N330" s="459"/>
      <c r="O330" s="459"/>
      <c r="P330" s="4"/>
    </row>
    <row r="331" spans="3:16">
      <c r="C331" s="449">
        <f>IF(D275="","-",+C330+1)</f>
        <v>2064</v>
      </c>
      <c r="D331" s="412">
        <f t="shared" si="17"/>
        <v>0</v>
      </c>
      <c r="E331" s="456">
        <f t="shared" si="15"/>
        <v>0</v>
      </c>
      <c r="F331" s="412">
        <f t="shared" si="16"/>
        <v>0</v>
      </c>
      <c r="G331" s="851">
        <f t="shared" si="12"/>
        <v>0</v>
      </c>
      <c r="H331" s="854">
        <f t="shared" si="13"/>
        <v>0</v>
      </c>
      <c r="I331" s="453">
        <f t="shared" si="14"/>
        <v>0</v>
      </c>
      <c r="J331" s="453"/>
      <c r="K331" s="566"/>
      <c r="L331" s="459"/>
      <c r="M331" s="566"/>
      <c r="N331" s="459"/>
      <c r="O331" s="459"/>
      <c r="P331" s="4"/>
    </row>
    <row r="332" spans="3:16">
      <c r="C332" s="449">
        <f>IF(D275="","-",+C331+1)</f>
        <v>2065</v>
      </c>
      <c r="D332" s="412">
        <f t="shared" si="17"/>
        <v>0</v>
      </c>
      <c r="E332" s="456">
        <f t="shared" si="15"/>
        <v>0</v>
      </c>
      <c r="F332" s="412">
        <f t="shared" si="16"/>
        <v>0</v>
      </c>
      <c r="G332" s="851">
        <f t="shared" si="12"/>
        <v>0</v>
      </c>
      <c r="H332" s="854">
        <f t="shared" si="13"/>
        <v>0</v>
      </c>
      <c r="I332" s="453">
        <f t="shared" si="14"/>
        <v>0</v>
      </c>
      <c r="J332" s="453"/>
      <c r="K332" s="566"/>
      <c r="L332" s="459"/>
      <c r="M332" s="566"/>
      <c r="N332" s="459"/>
      <c r="O332" s="459"/>
      <c r="P332" s="4"/>
    </row>
    <row r="333" spans="3:16">
      <c r="C333" s="449">
        <f>IF(D275="","-",+C332+1)</f>
        <v>2066</v>
      </c>
      <c r="D333" s="412">
        <f t="shared" si="17"/>
        <v>0</v>
      </c>
      <c r="E333" s="456">
        <f t="shared" si="15"/>
        <v>0</v>
      </c>
      <c r="F333" s="412">
        <f t="shared" si="16"/>
        <v>0</v>
      </c>
      <c r="G333" s="851">
        <f t="shared" si="12"/>
        <v>0</v>
      </c>
      <c r="H333" s="854">
        <f t="shared" si="13"/>
        <v>0</v>
      </c>
      <c r="I333" s="453">
        <f t="shared" si="14"/>
        <v>0</v>
      </c>
      <c r="J333" s="453"/>
      <c r="K333" s="566"/>
      <c r="L333" s="459"/>
      <c r="M333" s="566"/>
      <c r="N333" s="459"/>
      <c r="O333" s="459"/>
      <c r="P333" s="4"/>
    </row>
    <row r="334" spans="3:16">
      <c r="C334" s="449">
        <f>IF(D275="","-",+C333+1)</f>
        <v>2067</v>
      </c>
      <c r="D334" s="412">
        <f t="shared" si="17"/>
        <v>0</v>
      </c>
      <c r="E334" s="456">
        <f t="shared" si="15"/>
        <v>0</v>
      </c>
      <c r="F334" s="412">
        <f t="shared" si="16"/>
        <v>0</v>
      </c>
      <c r="G334" s="851">
        <f t="shared" si="12"/>
        <v>0</v>
      </c>
      <c r="H334" s="854">
        <f t="shared" si="13"/>
        <v>0</v>
      </c>
      <c r="I334" s="453">
        <f t="shared" si="14"/>
        <v>0</v>
      </c>
      <c r="J334" s="453"/>
      <c r="K334" s="566"/>
      <c r="L334" s="459"/>
      <c r="M334" s="566"/>
      <c r="N334" s="459"/>
      <c r="O334" s="459"/>
      <c r="P334" s="4"/>
    </row>
    <row r="335" spans="3:16">
      <c r="C335" s="449">
        <f>IF(D275="","-",+C334+1)</f>
        <v>2068</v>
      </c>
      <c r="D335" s="412">
        <f t="shared" si="17"/>
        <v>0</v>
      </c>
      <c r="E335" s="456">
        <f t="shared" si="15"/>
        <v>0</v>
      </c>
      <c r="F335" s="412">
        <f t="shared" si="16"/>
        <v>0</v>
      </c>
      <c r="G335" s="851">
        <f t="shared" si="12"/>
        <v>0</v>
      </c>
      <c r="H335" s="854">
        <f t="shared" si="13"/>
        <v>0</v>
      </c>
      <c r="I335" s="453">
        <f t="shared" si="14"/>
        <v>0</v>
      </c>
      <c r="J335" s="453"/>
      <c r="K335" s="566"/>
      <c r="L335" s="459"/>
      <c r="M335" s="566"/>
      <c r="N335" s="459"/>
      <c r="O335" s="459"/>
      <c r="P335" s="4"/>
    </row>
    <row r="336" spans="3:16">
      <c r="C336" s="449">
        <f>IF(D275="","-",+C335+1)</f>
        <v>2069</v>
      </c>
      <c r="D336" s="412">
        <f t="shared" si="17"/>
        <v>0</v>
      </c>
      <c r="E336" s="456">
        <f t="shared" si="15"/>
        <v>0</v>
      </c>
      <c r="F336" s="412">
        <f t="shared" si="16"/>
        <v>0</v>
      </c>
      <c r="G336" s="851">
        <f t="shared" si="12"/>
        <v>0</v>
      </c>
      <c r="H336" s="854">
        <f t="shared" si="13"/>
        <v>0</v>
      </c>
      <c r="I336" s="453">
        <f t="shared" si="14"/>
        <v>0</v>
      </c>
      <c r="J336" s="453"/>
      <c r="K336" s="566"/>
      <c r="L336" s="459"/>
      <c r="M336" s="566"/>
      <c r="N336" s="459"/>
      <c r="O336" s="459"/>
      <c r="P336" s="4"/>
    </row>
    <row r="337" spans="1:16">
      <c r="C337" s="449">
        <f>IF(D275="","-",+C336+1)</f>
        <v>2070</v>
      </c>
      <c r="D337" s="412">
        <f t="shared" si="17"/>
        <v>0</v>
      </c>
      <c r="E337" s="456">
        <f t="shared" si="15"/>
        <v>0</v>
      </c>
      <c r="F337" s="412">
        <f t="shared" si="16"/>
        <v>0</v>
      </c>
      <c r="G337" s="851">
        <f t="shared" si="12"/>
        <v>0</v>
      </c>
      <c r="H337" s="854">
        <f t="shared" si="13"/>
        <v>0</v>
      </c>
      <c r="I337" s="453">
        <f t="shared" si="14"/>
        <v>0</v>
      </c>
      <c r="J337" s="453"/>
      <c r="K337" s="566"/>
      <c r="L337" s="459"/>
      <c r="M337" s="566"/>
      <c r="N337" s="459"/>
      <c r="O337" s="459"/>
      <c r="P337" s="4"/>
    </row>
    <row r="338" spans="1:16">
      <c r="C338" s="449">
        <f>IF(D275="","-",+C337+1)</f>
        <v>2071</v>
      </c>
      <c r="D338" s="412">
        <f t="shared" si="17"/>
        <v>0</v>
      </c>
      <c r="E338" s="456">
        <f t="shared" si="15"/>
        <v>0</v>
      </c>
      <c r="F338" s="412">
        <f t="shared" si="16"/>
        <v>0</v>
      </c>
      <c r="G338" s="851">
        <f t="shared" si="12"/>
        <v>0</v>
      </c>
      <c r="H338" s="854">
        <f t="shared" si="13"/>
        <v>0</v>
      </c>
      <c r="I338" s="453">
        <f t="shared" si="14"/>
        <v>0</v>
      </c>
      <c r="J338" s="453"/>
      <c r="K338" s="566"/>
      <c r="L338" s="459"/>
      <c r="M338" s="566"/>
      <c r="N338" s="459"/>
      <c r="O338" s="459"/>
      <c r="P338" s="4"/>
    </row>
    <row r="339" spans="1:16">
      <c r="C339" s="449">
        <f>IF(D275="","-",+C338+1)</f>
        <v>2072</v>
      </c>
      <c r="D339" s="412">
        <f t="shared" si="17"/>
        <v>0</v>
      </c>
      <c r="E339" s="456">
        <f t="shared" si="15"/>
        <v>0</v>
      </c>
      <c r="F339" s="412">
        <f t="shared" si="16"/>
        <v>0</v>
      </c>
      <c r="G339" s="851">
        <f t="shared" si="12"/>
        <v>0</v>
      </c>
      <c r="H339" s="854">
        <f t="shared" si="13"/>
        <v>0</v>
      </c>
      <c r="I339" s="453">
        <f t="shared" si="14"/>
        <v>0</v>
      </c>
      <c r="J339" s="453"/>
      <c r="K339" s="566"/>
      <c r="L339" s="459"/>
      <c r="M339" s="566"/>
      <c r="N339" s="459"/>
      <c r="O339" s="459"/>
      <c r="P339" s="4"/>
    </row>
    <row r="340" spans="1:16" ht="13.5" thickBot="1">
      <c r="C340" s="461">
        <f>IF(D275="","-",+C339+1)</f>
        <v>2073</v>
      </c>
      <c r="D340" s="462">
        <f t="shared" si="17"/>
        <v>0</v>
      </c>
      <c r="E340" s="463">
        <f t="shared" si="15"/>
        <v>0</v>
      </c>
      <c r="F340" s="462">
        <f t="shared" si="16"/>
        <v>0</v>
      </c>
      <c r="G340" s="861">
        <f t="shared" si="12"/>
        <v>0</v>
      </c>
      <c r="H340" s="861">
        <f t="shared" si="13"/>
        <v>0</v>
      </c>
      <c r="I340" s="465">
        <f t="shared" si="14"/>
        <v>0</v>
      </c>
      <c r="J340" s="453"/>
      <c r="K340" s="567"/>
      <c r="L340" s="467"/>
      <c r="M340" s="567"/>
      <c r="N340" s="467"/>
      <c r="O340" s="467"/>
      <c r="P340" s="4"/>
    </row>
    <row r="341" spans="1:16">
      <c r="C341" s="412" t="s">
        <v>288</v>
      </c>
      <c r="D341" s="832"/>
      <c r="E341" s="832">
        <f>SUM(E281:E340)</f>
        <v>28572967.259999994</v>
      </c>
      <c r="F341" s="832"/>
      <c r="G341" s="832">
        <f>SUM(G281:G340)</f>
        <v>93322178.60084115</v>
      </c>
      <c r="H341" s="832">
        <f>SUM(H281:H340)</f>
        <v>93322178.60084115</v>
      </c>
      <c r="I341" s="832">
        <f>SUM(I281:I340)</f>
        <v>0</v>
      </c>
      <c r="J341" s="832"/>
      <c r="K341" s="832"/>
      <c r="L341" s="832"/>
      <c r="M341" s="832"/>
      <c r="N341" s="832"/>
      <c r="O341" s="4"/>
      <c r="P341" s="4"/>
    </row>
    <row r="342" spans="1:16">
      <c r="D342" s="67"/>
      <c r="E342" s="4"/>
      <c r="F342" s="4"/>
      <c r="G342" s="4"/>
      <c r="H342" s="831"/>
      <c r="I342" s="831"/>
      <c r="J342" s="832"/>
      <c r="K342" s="831"/>
      <c r="L342" s="831"/>
      <c r="M342" s="831"/>
      <c r="N342" s="831"/>
      <c r="O342" s="4"/>
      <c r="P342" s="4"/>
    </row>
    <row r="343" spans="1:16">
      <c r="C343" s="4" t="s">
        <v>601</v>
      </c>
      <c r="D343" s="67"/>
      <c r="E343" s="4"/>
      <c r="F343" s="4"/>
      <c r="G343" s="4"/>
      <c r="H343" s="831"/>
      <c r="I343" s="831"/>
      <c r="J343" s="832"/>
      <c r="K343" s="831"/>
      <c r="L343" s="831"/>
      <c r="M343" s="831"/>
      <c r="N343" s="831"/>
      <c r="O343" s="4"/>
      <c r="P343" s="4"/>
    </row>
    <row r="344" spans="1:16">
      <c r="D344" s="67"/>
      <c r="E344" s="4"/>
      <c r="F344" s="4"/>
      <c r="G344" s="4"/>
      <c r="H344" s="831"/>
      <c r="I344" s="831"/>
      <c r="J344" s="832"/>
      <c r="K344" s="831"/>
      <c r="L344" s="831"/>
      <c r="M344" s="831"/>
      <c r="N344" s="831"/>
      <c r="O344" s="4"/>
      <c r="P344" s="4"/>
    </row>
    <row r="345" spans="1:16">
      <c r="C345" s="4" t="s">
        <v>602</v>
      </c>
      <c r="D345" s="412"/>
      <c r="E345" s="412"/>
      <c r="F345" s="412"/>
      <c r="G345" s="832"/>
      <c r="H345" s="832"/>
      <c r="I345" s="414"/>
      <c r="J345" s="414"/>
      <c r="K345" s="414"/>
      <c r="L345" s="414"/>
      <c r="M345" s="414"/>
      <c r="N345" s="414"/>
      <c r="O345" s="4"/>
      <c r="P345" s="4"/>
    </row>
    <row r="346" spans="1:16">
      <c r="C346" s="4" t="s">
        <v>476</v>
      </c>
      <c r="D346" s="412"/>
      <c r="E346" s="412"/>
      <c r="F346" s="412"/>
      <c r="G346" s="832"/>
      <c r="H346" s="832"/>
      <c r="I346" s="414"/>
      <c r="J346" s="414"/>
      <c r="K346" s="414"/>
      <c r="L346" s="414"/>
      <c r="M346" s="414"/>
      <c r="N346" s="414"/>
      <c r="O346" s="4"/>
      <c r="P346" s="4"/>
    </row>
    <row r="347" spans="1:16">
      <c r="C347" s="4" t="s">
        <v>289</v>
      </c>
      <c r="D347" s="412"/>
      <c r="E347" s="412"/>
      <c r="F347" s="412"/>
      <c r="G347" s="832"/>
      <c r="H347" s="832"/>
      <c r="I347" s="414"/>
      <c r="J347" s="414"/>
      <c r="K347" s="414"/>
      <c r="L347" s="414"/>
      <c r="M347" s="414"/>
      <c r="N347" s="414"/>
      <c r="O347" s="4"/>
      <c r="P347" s="4"/>
    </row>
    <row r="348" spans="1:16">
      <c r="C348" s="413"/>
      <c r="D348" s="412"/>
      <c r="E348" s="412"/>
      <c r="F348" s="412"/>
      <c r="G348" s="832"/>
      <c r="H348" s="832"/>
      <c r="I348" s="414"/>
      <c r="J348" s="414"/>
      <c r="K348" s="414"/>
      <c r="L348" s="414"/>
      <c r="M348" s="414"/>
      <c r="N348" s="414"/>
      <c r="O348" s="4"/>
      <c r="P348" s="4"/>
    </row>
    <row r="349" spans="1:16">
      <c r="C349" s="1279" t="s">
        <v>460</v>
      </c>
      <c r="D349" s="1279"/>
      <c r="E349" s="1279"/>
      <c r="F349" s="1279"/>
      <c r="G349" s="1279"/>
      <c r="H349" s="1279"/>
      <c r="I349" s="1279"/>
      <c r="J349" s="1279"/>
      <c r="K349" s="1279"/>
      <c r="L349" s="1279"/>
      <c r="M349" s="1279"/>
      <c r="N349" s="1279"/>
      <c r="O349" s="1279"/>
      <c r="P349" s="4"/>
    </row>
    <row r="350" spans="1:16">
      <c r="C350" s="1279"/>
      <c r="D350" s="1279"/>
      <c r="E350" s="1279"/>
      <c r="F350" s="1279"/>
      <c r="G350" s="1279"/>
      <c r="H350" s="1279"/>
      <c r="I350" s="1279"/>
      <c r="J350" s="1279"/>
      <c r="K350" s="1279"/>
      <c r="L350" s="1279"/>
      <c r="M350" s="1279"/>
      <c r="N350" s="1279"/>
      <c r="O350" s="1279"/>
      <c r="P350" s="4"/>
    </row>
    <row r="351" spans="1:16" ht="20.25">
      <c r="A351" s="352" t="s">
        <v>929</v>
      </c>
      <c r="B351" s="4"/>
      <c r="C351" s="4"/>
      <c r="D351" s="67"/>
      <c r="E351" s="4"/>
      <c r="F351" s="394"/>
      <c r="G351" s="4"/>
      <c r="H351" s="831"/>
      <c r="K351" s="353"/>
      <c r="L351" s="353"/>
      <c r="M351" s="353"/>
      <c r="N351" s="353" t="str">
        <f>"Page "&amp;SUM(P$6:P351)&amp;" of "</f>
        <v xml:space="preserve">Page 5 of </v>
      </c>
      <c r="O351" s="354">
        <f>COUNT(P$6:P$59606)</f>
        <v>18</v>
      </c>
      <c r="P351" s="4">
        <v>1</v>
      </c>
    </row>
    <row r="352" spans="1:16">
      <c r="B352" s="4"/>
      <c r="C352" s="4"/>
      <c r="D352" s="67"/>
      <c r="E352" s="4"/>
      <c r="F352" s="4"/>
      <c r="G352" s="4"/>
      <c r="H352" s="831"/>
      <c r="I352" s="4"/>
      <c r="J352" s="4"/>
      <c r="K352" s="4"/>
      <c r="L352" s="4"/>
      <c r="M352" s="4"/>
      <c r="N352" s="4"/>
      <c r="O352" s="4"/>
      <c r="P352" s="4"/>
    </row>
    <row r="353" spans="1:16" ht="18">
      <c r="B353" s="355" t="s">
        <v>174</v>
      </c>
      <c r="C353" s="415" t="s">
        <v>290</v>
      </c>
      <c r="D353" s="67"/>
      <c r="E353" s="4"/>
      <c r="F353" s="4"/>
      <c r="G353" s="4"/>
      <c r="H353" s="831"/>
      <c r="I353" s="831"/>
      <c r="J353" s="832"/>
      <c r="K353" s="831"/>
      <c r="L353" s="831"/>
      <c r="M353" s="831"/>
      <c r="N353" s="831"/>
      <c r="O353" s="4"/>
      <c r="P353" s="4"/>
    </row>
    <row r="354" spans="1:16" ht="18.75">
      <c r="B354" s="355"/>
      <c r="C354" s="11"/>
      <c r="D354" s="67"/>
      <c r="E354" s="4"/>
      <c r="F354" s="4"/>
      <c r="G354" s="4"/>
      <c r="H354" s="831"/>
      <c r="I354" s="831"/>
      <c r="J354" s="832"/>
      <c r="K354" s="831"/>
      <c r="L354" s="831"/>
      <c r="M354" s="831"/>
      <c r="N354" s="831"/>
      <c r="O354" s="4"/>
      <c r="P354" s="4"/>
    </row>
    <row r="355" spans="1:16" ht="18.75">
      <c r="B355" s="355"/>
      <c r="C355" s="11" t="s">
        <v>291</v>
      </c>
      <c r="D355" s="67"/>
      <c r="E355" s="4"/>
      <c r="F355" s="4"/>
      <c r="G355" s="4"/>
      <c r="H355" s="831"/>
      <c r="I355" s="831"/>
      <c r="J355" s="832"/>
      <c r="K355" s="831"/>
      <c r="L355" s="831"/>
      <c r="M355" s="831"/>
      <c r="N355" s="831"/>
      <c r="O355" s="4"/>
      <c r="P355" s="4"/>
    </row>
    <row r="356" spans="1:16" ht="15.75" thickBot="1">
      <c r="C356" s="203"/>
      <c r="D356" s="67"/>
      <c r="E356" s="4"/>
      <c r="F356" s="4"/>
      <c r="G356" s="4"/>
      <c r="H356" s="831"/>
      <c r="I356" s="831"/>
      <c r="J356" s="832"/>
      <c r="K356" s="831"/>
      <c r="L356" s="831"/>
      <c r="M356" s="831"/>
      <c r="N356" s="831"/>
      <c r="O356" s="4"/>
      <c r="P356" s="4"/>
    </row>
    <row r="357" spans="1:16" ht="15.75">
      <c r="C357" s="356" t="s">
        <v>292</v>
      </c>
      <c r="D357" s="67"/>
      <c r="E357" s="4"/>
      <c r="F357" s="4"/>
      <c r="G357" s="833"/>
      <c r="H357" s="4" t="s">
        <v>271</v>
      </c>
      <c r="I357" s="4"/>
      <c r="J357" s="4"/>
      <c r="K357" s="416" t="s">
        <v>296</v>
      </c>
      <c r="L357" s="417"/>
      <c r="M357" s="418"/>
      <c r="N357" s="834">
        <f>VLOOKUP(I363,C370:O429,5)</f>
        <v>252999.74179688</v>
      </c>
      <c r="O357" s="4"/>
      <c r="P357" s="4"/>
    </row>
    <row r="358" spans="1:16" ht="15.75">
      <c r="C358" s="356"/>
      <c r="D358" s="67"/>
      <c r="E358" s="4"/>
      <c r="F358" s="4"/>
      <c r="G358" s="4"/>
      <c r="H358" s="835"/>
      <c r="I358" s="835"/>
      <c r="J358" s="836"/>
      <c r="K358" s="421" t="s">
        <v>297</v>
      </c>
      <c r="L358" s="837"/>
      <c r="M358" s="4"/>
      <c r="N358" s="838">
        <f>VLOOKUP(I363,C370:O429,6)</f>
        <v>252999.74179688</v>
      </c>
      <c r="O358" s="4"/>
      <c r="P358" s="4"/>
    </row>
    <row r="359" spans="1:16" ht="13.5" thickBot="1">
      <c r="C359" s="422" t="s">
        <v>293</v>
      </c>
      <c r="D359" s="1277" t="s">
        <v>934</v>
      </c>
      <c r="E359" s="1277"/>
      <c r="F359" s="1277"/>
      <c r="G359" s="1277"/>
      <c r="H359" s="831"/>
      <c r="I359" s="831"/>
      <c r="J359" s="832"/>
      <c r="K359" s="839" t="s">
        <v>450</v>
      </c>
      <c r="L359" s="840"/>
      <c r="M359" s="840"/>
      <c r="N359" s="841">
        <f>N357-N358</f>
        <v>0</v>
      </c>
      <c r="O359" s="4"/>
      <c r="P359" s="4"/>
    </row>
    <row r="360" spans="1:16">
      <c r="C360" s="424"/>
      <c r="D360" s="425"/>
      <c r="E360" s="412"/>
      <c r="F360" s="412"/>
      <c r="G360" s="426"/>
      <c r="H360" s="831"/>
      <c r="I360" s="831"/>
      <c r="J360" s="832"/>
      <c r="K360" s="831"/>
      <c r="L360" s="831"/>
      <c r="M360" s="831"/>
      <c r="N360" s="831"/>
      <c r="O360" s="4"/>
      <c r="P360" s="4"/>
    </row>
    <row r="361" spans="1:16" ht="13.5" thickBot="1">
      <c r="C361" s="424"/>
      <c r="D361" s="4"/>
      <c r="E361" s="426"/>
      <c r="F361" s="426"/>
      <c r="G361" s="426"/>
      <c r="H361" s="426"/>
      <c r="I361" s="426"/>
      <c r="J361" s="426"/>
      <c r="K361" s="426"/>
      <c r="L361" s="426"/>
      <c r="M361" s="426"/>
      <c r="N361" s="426"/>
      <c r="O361" s="4"/>
      <c r="P361" s="4"/>
    </row>
    <row r="362" spans="1:16" ht="13.5" thickBot="1">
      <c r="C362" s="427" t="s">
        <v>294</v>
      </c>
      <c r="D362" s="428"/>
      <c r="E362" s="428"/>
      <c r="F362" s="428"/>
      <c r="G362" s="428"/>
      <c r="H362" s="428"/>
      <c r="I362" s="429"/>
      <c r="K362" s="4"/>
      <c r="L362" s="4"/>
      <c r="M362" s="4"/>
      <c r="N362" s="4"/>
      <c r="O362" s="4"/>
      <c r="P362" s="4"/>
    </row>
    <row r="363" spans="1:16" ht="15">
      <c r="C363" s="430" t="s">
        <v>272</v>
      </c>
      <c r="D363" s="842">
        <v>2419909.98</v>
      </c>
      <c r="E363" s="4" t="s">
        <v>273</v>
      </c>
      <c r="G363" s="67"/>
      <c r="H363" s="67"/>
      <c r="I363" s="431">
        <f>$L$26</f>
        <v>2026</v>
      </c>
      <c r="J363" s="114"/>
      <c r="K363" s="1278" t="s">
        <v>459</v>
      </c>
      <c r="L363" s="1278"/>
      <c r="M363" s="1278"/>
      <c r="N363" s="1278"/>
      <c r="O363" s="1278"/>
      <c r="P363" s="4"/>
    </row>
    <row r="364" spans="1:16">
      <c r="C364" s="430" t="s">
        <v>275</v>
      </c>
      <c r="D364" s="561">
        <v>2014</v>
      </c>
      <c r="E364" s="430" t="s">
        <v>276</v>
      </c>
      <c r="F364" s="67"/>
      <c r="I364" s="564">
        <f>IF(G351="",0,$F$15)</f>
        <v>0</v>
      </c>
      <c r="J364" s="432"/>
      <c r="K364" s="832" t="s">
        <v>459</v>
      </c>
      <c r="P364" s="4"/>
    </row>
    <row r="365" spans="1:16">
      <c r="C365" s="430" t="s">
        <v>277</v>
      </c>
      <c r="D365" s="843">
        <v>12</v>
      </c>
      <c r="E365" s="430" t="s">
        <v>278</v>
      </c>
      <c r="F365" s="67"/>
      <c r="I365" s="433">
        <f>$G$70</f>
        <v>0.1119061905251431</v>
      </c>
      <c r="J365" s="394"/>
      <c r="K365" t="str">
        <f>"          INPUT PROJECTED ARR (WITH &amp; WITHOUT INCENTIVES) FROM EACH PRIOR YEAR"</f>
        <v xml:space="preserve">          INPUT PROJECTED ARR (WITH &amp; WITHOUT INCENTIVES) FROM EACH PRIOR YEAR</v>
      </c>
      <c r="P365" s="4"/>
    </row>
    <row r="366" spans="1:16">
      <c r="C366" s="430" t="s">
        <v>279</v>
      </c>
      <c r="D366" s="434">
        <f>G$79</f>
        <v>39</v>
      </c>
      <c r="E366" s="430" t="s">
        <v>280</v>
      </c>
      <c r="F366" s="67"/>
      <c r="I366" s="433">
        <f>IF(G351="",I365,$G$67)</f>
        <v>0.1119061905251431</v>
      </c>
      <c r="J366" s="394"/>
      <c r="K366" t="s">
        <v>357</v>
      </c>
      <c r="P366" s="4"/>
    </row>
    <row r="367" spans="1:16" ht="13.5" thickBot="1">
      <c r="C367" s="430" t="s">
        <v>281</v>
      </c>
      <c r="D367" s="563" t="s">
        <v>931</v>
      </c>
      <c r="E367" s="435" t="s">
        <v>282</v>
      </c>
      <c r="F367" s="436"/>
      <c r="G367" s="437"/>
      <c r="H367" s="437"/>
      <c r="I367" s="841">
        <f>IF(D363=0,0,D363/D366)</f>
        <v>62048.973846153844</v>
      </c>
      <c r="J367" s="832"/>
      <c r="K367" s="832" t="s">
        <v>363</v>
      </c>
      <c r="L367" s="832"/>
      <c r="M367" s="832"/>
      <c r="N367" s="832"/>
      <c r="O367" s="4"/>
      <c r="P367" s="4"/>
    </row>
    <row r="368" spans="1:16" ht="51">
      <c r="A368" s="322"/>
      <c r="B368" s="322"/>
      <c r="C368" s="438" t="s">
        <v>272</v>
      </c>
      <c r="D368" s="844" t="s">
        <v>283</v>
      </c>
      <c r="E368" s="845" t="s">
        <v>284</v>
      </c>
      <c r="F368" s="844" t="s">
        <v>285</v>
      </c>
      <c r="G368" s="845" t="s">
        <v>356</v>
      </c>
      <c r="H368" s="846" t="s">
        <v>356</v>
      </c>
      <c r="I368" s="438" t="s">
        <v>295</v>
      </c>
      <c r="J368" s="442"/>
      <c r="K368" s="845" t="s">
        <v>365</v>
      </c>
      <c r="L368" s="847"/>
      <c r="M368" s="845" t="s">
        <v>365</v>
      </c>
      <c r="N368" s="847"/>
      <c r="O368" s="847"/>
      <c r="P368" s="4"/>
    </row>
    <row r="369" spans="3:16" ht="13.5" thickBot="1">
      <c r="C369" s="444" t="s">
        <v>177</v>
      </c>
      <c r="D369" s="445" t="s">
        <v>178</v>
      </c>
      <c r="E369" s="444" t="s">
        <v>37</v>
      </c>
      <c r="F369" s="445" t="s">
        <v>178</v>
      </c>
      <c r="G369" s="848" t="s">
        <v>298</v>
      </c>
      <c r="H369" s="849" t="s">
        <v>300</v>
      </c>
      <c r="I369" s="444" t="s">
        <v>389</v>
      </c>
      <c r="J369" s="448"/>
      <c r="K369" s="848" t="s">
        <v>287</v>
      </c>
      <c r="L369" s="850"/>
      <c r="M369" s="848" t="s">
        <v>300</v>
      </c>
      <c r="N369" s="850"/>
      <c r="O369" s="850"/>
      <c r="P369" s="4"/>
    </row>
    <row r="370" spans="3:16">
      <c r="C370" s="449">
        <f>IF(D364= "","-",D364)</f>
        <v>2014</v>
      </c>
      <c r="D370" s="412">
        <f>+D363</f>
        <v>2419909.98</v>
      </c>
      <c r="E370" s="851">
        <f>+I367/12*(12-D365)</f>
        <v>0</v>
      </c>
      <c r="F370" s="412">
        <f>+D370-E370</f>
        <v>2419909.98</v>
      </c>
      <c r="G370" s="852">
        <f>+$I$365*((D370+F370)/2)+E370</f>
        <v>270802.90727557521</v>
      </c>
      <c r="H370" s="853">
        <f>+$I$366*((D370+F370)/2)+E370</f>
        <v>270802.90727557521</v>
      </c>
      <c r="I370" s="453">
        <f>+H370-G370</f>
        <v>0</v>
      </c>
      <c r="J370" s="453"/>
      <c r="K370" s="565">
        <v>222712</v>
      </c>
      <c r="L370" s="455"/>
      <c r="M370" s="565">
        <v>222712</v>
      </c>
      <c r="N370" s="455"/>
      <c r="O370" s="455"/>
      <c r="P370" s="4"/>
    </row>
    <row r="371" spans="3:16">
      <c r="C371" s="449">
        <f>IF(D364="","-",+C370+1)</f>
        <v>2015</v>
      </c>
      <c r="D371" s="412">
        <f>F370</f>
        <v>2419909.98</v>
      </c>
      <c r="E371" s="456">
        <f>IF(D371&gt;$I$367,$I$367,D371)</f>
        <v>62048.973846153844</v>
      </c>
      <c r="F371" s="412">
        <f>+D371-E371</f>
        <v>2357861.0061538462</v>
      </c>
      <c r="G371" s="851">
        <f t="shared" ref="G371:G429" si="18">+$I$365*((D371+F371)/2)+E371</f>
        <v>329380.04897717043</v>
      </c>
      <c r="H371" s="854">
        <f t="shared" ref="H371:H429" si="19">+$I$366*((D371+F371)/2)+E371</f>
        <v>329380.04897717043</v>
      </c>
      <c r="I371" s="453">
        <f t="shared" ref="I371:I429" si="20">+H371-G371</f>
        <v>0</v>
      </c>
      <c r="J371" s="453"/>
      <c r="K371" s="566">
        <v>317491</v>
      </c>
      <c r="L371" s="459"/>
      <c r="M371" s="566">
        <v>317491</v>
      </c>
      <c r="N371" s="459"/>
      <c r="O371" s="459"/>
      <c r="P371" s="4"/>
    </row>
    <row r="372" spans="3:16">
      <c r="C372" s="449">
        <f>IF(D364="","-",+C371+1)</f>
        <v>2016</v>
      </c>
      <c r="D372" s="412">
        <f>F371</f>
        <v>2357861.0061538462</v>
      </c>
      <c r="E372" s="456">
        <f t="shared" ref="E372:E429" si="21">IF(D372&gt;$I$367,$I$367,D372)</f>
        <v>62048.973846153844</v>
      </c>
      <c r="F372" s="412">
        <f t="shared" ref="F372:F429" si="22">+D372-E372</f>
        <v>2295812.0323076923</v>
      </c>
      <c r="G372" s="851">
        <f t="shared" si="18"/>
        <v>322436.38468805305</v>
      </c>
      <c r="H372" s="854">
        <f t="shared" si="19"/>
        <v>322436.38468805305</v>
      </c>
      <c r="I372" s="453">
        <f t="shared" si="20"/>
        <v>0</v>
      </c>
      <c r="J372" s="453"/>
      <c r="K372" s="566">
        <v>303455</v>
      </c>
      <c r="L372" s="864"/>
      <c r="M372" s="566">
        <v>303455</v>
      </c>
      <c r="N372" s="459"/>
      <c r="O372" s="459"/>
      <c r="P372" s="4"/>
    </row>
    <row r="373" spans="3:16">
      <c r="C373" s="449">
        <f>IF(D364="","-",+C372+1)</f>
        <v>2017</v>
      </c>
      <c r="D373" s="412">
        <f t="shared" ref="D373:D429" si="23">F372</f>
        <v>2295812.0323076923</v>
      </c>
      <c r="E373" s="456">
        <f t="shared" si="21"/>
        <v>62048.973846153844</v>
      </c>
      <c r="F373" s="412">
        <f t="shared" si="22"/>
        <v>2233763.0584615385</v>
      </c>
      <c r="G373" s="851">
        <f t="shared" si="18"/>
        <v>315492.72039893578</v>
      </c>
      <c r="H373" s="854">
        <f t="shared" si="19"/>
        <v>315492.72039893578</v>
      </c>
      <c r="I373" s="453">
        <f t="shared" si="20"/>
        <v>0</v>
      </c>
      <c r="J373" s="453"/>
      <c r="K373" s="566">
        <v>317491</v>
      </c>
      <c r="L373" s="459"/>
      <c r="M373" s="566">
        <v>317491</v>
      </c>
      <c r="N373" s="459"/>
      <c r="O373" s="459"/>
      <c r="P373" s="4"/>
    </row>
    <row r="374" spans="3:16">
      <c r="C374" s="878">
        <f>IF(D364="","-",+C373+1)</f>
        <v>2018</v>
      </c>
      <c r="D374" s="856">
        <f t="shared" si="23"/>
        <v>2233763.0584615385</v>
      </c>
      <c r="E374" s="857">
        <f t="shared" si="21"/>
        <v>62048.973846153844</v>
      </c>
      <c r="F374" s="856">
        <f t="shared" si="22"/>
        <v>2171714.0846153847</v>
      </c>
      <c r="G374" s="858">
        <f t="shared" si="18"/>
        <v>308549.05610981846</v>
      </c>
      <c r="H374" s="859">
        <f t="shared" si="19"/>
        <v>308549.05610981846</v>
      </c>
      <c r="I374" s="865">
        <f t="shared" si="20"/>
        <v>0</v>
      </c>
      <c r="J374" s="865"/>
      <c r="K374" s="566">
        <v>292574</v>
      </c>
      <c r="L374" s="459"/>
      <c r="M374" s="566">
        <v>292574</v>
      </c>
      <c r="N374" s="459"/>
      <c r="O374" s="459"/>
      <c r="P374" s="4"/>
    </row>
    <row r="375" spans="3:16">
      <c r="C375" s="449">
        <f>IF(D366="","-",+C374+1)</f>
        <v>2019</v>
      </c>
      <c r="D375" s="412">
        <f t="shared" si="23"/>
        <v>2171714.0846153847</v>
      </c>
      <c r="E375" s="456">
        <f t="shared" si="21"/>
        <v>62048.973846153844</v>
      </c>
      <c r="F375" s="412">
        <f t="shared" si="22"/>
        <v>2109665.1107692309</v>
      </c>
      <c r="G375" s="851">
        <f t="shared" si="18"/>
        <v>301605.39182070119</v>
      </c>
      <c r="H375" s="854">
        <f t="shared" si="19"/>
        <v>301605.39182070119</v>
      </c>
      <c r="I375" s="453">
        <f t="shared" si="20"/>
        <v>0</v>
      </c>
      <c r="J375" s="453"/>
      <c r="K375" s="566">
        <v>285753</v>
      </c>
      <c r="L375" s="459"/>
      <c r="M375" s="566">
        <v>285753</v>
      </c>
      <c r="N375" s="459"/>
      <c r="O375" s="459"/>
      <c r="P375" s="4"/>
    </row>
    <row r="376" spans="3:16">
      <c r="C376" s="449">
        <f>IF(D366="","-",+C375+1)</f>
        <v>2020</v>
      </c>
      <c r="D376" s="412">
        <f t="shared" si="23"/>
        <v>2109665.1107692309</v>
      </c>
      <c r="E376" s="456">
        <f t="shared" si="21"/>
        <v>62048.973846153844</v>
      </c>
      <c r="F376" s="412">
        <f t="shared" si="22"/>
        <v>2047616.1369230771</v>
      </c>
      <c r="G376" s="851">
        <f t="shared" si="18"/>
        <v>294661.72753158386</v>
      </c>
      <c r="H376" s="854">
        <f t="shared" si="19"/>
        <v>294661.72753158386</v>
      </c>
      <c r="I376" s="453">
        <f t="shared" si="20"/>
        <v>0</v>
      </c>
      <c r="J376" s="453"/>
      <c r="K376" s="566">
        <v>271872.09064445226</v>
      </c>
      <c r="L376" s="459"/>
      <c r="M376" s="566">
        <v>271872.09064445226</v>
      </c>
      <c r="N376" s="459"/>
      <c r="O376" s="459"/>
      <c r="P376" s="4"/>
    </row>
    <row r="377" spans="3:16">
      <c r="C377" s="449">
        <f>IF(D364="","-",+C376+1)</f>
        <v>2021</v>
      </c>
      <c r="D377" s="412">
        <f t="shared" si="23"/>
        <v>2047616.1369230771</v>
      </c>
      <c r="E377" s="456">
        <f t="shared" si="21"/>
        <v>62048.973846153844</v>
      </c>
      <c r="F377" s="412">
        <f t="shared" si="22"/>
        <v>1985567.1630769232</v>
      </c>
      <c r="G377" s="851">
        <f t="shared" si="18"/>
        <v>287718.06324246654</v>
      </c>
      <c r="H377" s="854">
        <f t="shared" si="19"/>
        <v>287718.06324246654</v>
      </c>
      <c r="I377" s="453">
        <f t="shared" si="20"/>
        <v>0</v>
      </c>
      <c r="J377" s="453"/>
      <c r="K377" s="566">
        <v>267412.77468551655</v>
      </c>
      <c r="L377" s="459"/>
      <c r="M377" s="566">
        <v>267412.77468551655</v>
      </c>
      <c r="N377" s="459"/>
      <c r="O377" s="459"/>
      <c r="P377" s="4"/>
    </row>
    <row r="378" spans="3:16">
      <c r="C378" s="449">
        <f>IF(D369="","-",+C377+1)</f>
        <v>2022</v>
      </c>
      <c r="D378" s="412">
        <f t="shared" si="23"/>
        <v>1985567.1630769232</v>
      </c>
      <c r="E378" s="456">
        <f t="shared" si="21"/>
        <v>62048.973846153844</v>
      </c>
      <c r="F378" s="412">
        <f t="shared" si="22"/>
        <v>1923518.1892307694</v>
      </c>
      <c r="G378" s="851">
        <f t="shared" si="18"/>
        <v>280774.39895334921</v>
      </c>
      <c r="H378" s="854">
        <f t="shared" si="19"/>
        <v>280774.39895334921</v>
      </c>
      <c r="I378" s="453">
        <f t="shared" si="20"/>
        <v>0</v>
      </c>
      <c r="J378" s="453"/>
      <c r="K378" s="566">
        <v>263899.51040602638</v>
      </c>
      <c r="L378" s="459"/>
      <c r="M378" s="566">
        <v>263899.51040602638</v>
      </c>
      <c r="N378" s="459"/>
      <c r="O378" s="459"/>
      <c r="P378" s="4"/>
    </row>
    <row r="379" spans="3:16">
      <c r="C379" s="449">
        <f>IF(D369="","-",+C378+1)</f>
        <v>2023</v>
      </c>
      <c r="D379" s="412">
        <f t="shared" si="23"/>
        <v>1923518.1892307694</v>
      </c>
      <c r="E379" s="456">
        <f t="shared" si="21"/>
        <v>62048.973846153844</v>
      </c>
      <c r="F379" s="412">
        <f t="shared" si="22"/>
        <v>1861469.2153846156</v>
      </c>
      <c r="G379" s="851">
        <f t="shared" si="18"/>
        <v>273830.73466423195</v>
      </c>
      <c r="H379" s="854">
        <f t="shared" si="19"/>
        <v>273830.73466423195</v>
      </c>
      <c r="I379" s="453">
        <f t="shared" si="20"/>
        <v>0</v>
      </c>
      <c r="J379" s="453"/>
      <c r="K379" s="566">
        <v>271713.61431374738</v>
      </c>
      <c r="L379" s="459"/>
      <c r="M379" s="566">
        <v>271713.61431374738</v>
      </c>
      <c r="N379" s="459"/>
      <c r="O379" s="459"/>
      <c r="P379" s="4"/>
    </row>
    <row r="380" spans="3:16">
      <c r="C380" s="449">
        <f>IF(D364="","-",+C379+1)</f>
        <v>2024</v>
      </c>
      <c r="D380" s="412">
        <f t="shared" si="23"/>
        <v>1861469.2153846156</v>
      </c>
      <c r="E380" s="456">
        <f t="shared" si="21"/>
        <v>62048.973846153844</v>
      </c>
      <c r="F380" s="412">
        <f t="shared" si="22"/>
        <v>1799420.2415384618</v>
      </c>
      <c r="G380" s="851">
        <f t="shared" si="18"/>
        <v>266887.07037511462</v>
      </c>
      <c r="H380" s="854">
        <f t="shared" si="19"/>
        <v>266887.07037511462</v>
      </c>
      <c r="I380" s="453">
        <f t="shared" si="20"/>
        <v>0</v>
      </c>
      <c r="J380" s="453"/>
      <c r="K380" s="566">
        <v>263535.65580935439</v>
      </c>
      <c r="L380" s="459"/>
      <c r="M380" s="566">
        <v>263535.65580935439</v>
      </c>
      <c r="N380" s="459"/>
      <c r="O380" s="459"/>
      <c r="P380" s="4"/>
    </row>
    <row r="381" spans="3:16">
      <c r="C381" s="449">
        <f>IF(D364="","-",+C380+1)</f>
        <v>2025</v>
      </c>
      <c r="D381" s="412">
        <f t="shared" si="23"/>
        <v>1799420.2415384618</v>
      </c>
      <c r="E381" s="456">
        <f t="shared" si="21"/>
        <v>62048.973846153844</v>
      </c>
      <c r="F381" s="412">
        <f t="shared" si="22"/>
        <v>1737371.2676923079</v>
      </c>
      <c r="G381" s="851">
        <f t="shared" si="18"/>
        <v>259943.40608599733</v>
      </c>
      <c r="H381" s="854">
        <f t="shared" si="19"/>
        <v>259943.40608599733</v>
      </c>
      <c r="I381" s="453">
        <f t="shared" si="20"/>
        <v>0</v>
      </c>
      <c r="J381" s="453"/>
      <c r="K381" s="566">
        <v>257931.18908387123</v>
      </c>
      <c r="L381" s="459"/>
      <c r="M381" s="566">
        <v>257931.18908387123</v>
      </c>
      <c r="N381" s="459"/>
      <c r="O381" s="459"/>
      <c r="P381" s="4"/>
    </row>
    <row r="382" spans="3:16">
      <c r="C382" s="855">
        <f>IF(D364="","-",+C381+1)</f>
        <v>2026</v>
      </c>
      <c r="D382" s="412">
        <f t="shared" si="23"/>
        <v>1737371.2676923079</v>
      </c>
      <c r="E382" s="456">
        <f t="shared" si="21"/>
        <v>62048.973846153844</v>
      </c>
      <c r="F382" s="412">
        <f t="shared" si="22"/>
        <v>1675322.2938461541</v>
      </c>
      <c r="G382" s="851">
        <f t="shared" si="18"/>
        <v>252999.74179688</v>
      </c>
      <c r="H382" s="854">
        <f t="shared" si="19"/>
        <v>252999.74179688</v>
      </c>
      <c r="I382" s="453">
        <f t="shared" si="20"/>
        <v>0</v>
      </c>
      <c r="J382" s="453"/>
      <c r="K382" s="566"/>
      <c r="L382" s="459"/>
      <c r="M382" s="566"/>
      <c r="N382" s="460"/>
      <c r="O382" s="459"/>
      <c r="P382" s="4"/>
    </row>
    <row r="383" spans="3:16">
      <c r="C383" s="449">
        <f>IF(D364="","-",+C382+1)</f>
        <v>2027</v>
      </c>
      <c r="D383" s="412">
        <f t="shared" si="23"/>
        <v>1675322.2938461541</v>
      </c>
      <c r="E383" s="456">
        <f t="shared" si="21"/>
        <v>62048.973846153844</v>
      </c>
      <c r="F383" s="412">
        <f t="shared" si="22"/>
        <v>1613273.3200000003</v>
      </c>
      <c r="G383" s="851">
        <f t="shared" si="18"/>
        <v>246056.07750776267</v>
      </c>
      <c r="H383" s="854">
        <f t="shared" si="19"/>
        <v>246056.07750776267</v>
      </c>
      <c r="I383" s="453">
        <f t="shared" si="20"/>
        <v>0</v>
      </c>
      <c r="J383" s="453"/>
      <c r="K383" s="566"/>
      <c r="L383" s="459"/>
      <c r="M383" s="566"/>
      <c r="N383" s="459"/>
      <c r="O383" s="459"/>
      <c r="P383" s="4"/>
    </row>
    <row r="384" spans="3:16">
      <c r="C384" s="449">
        <f>IF(D364="","-",+C383+1)</f>
        <v>2028</v>
      </c>
      <c r="D384" s="412">
        <f t="shared" si="23"/>
        <v>1613273.3200000003</v>
      </c>
      <c r="E384" s="456">
        <f t="shared" si="21"/>
        <v>62048.973846153844</v>
      </c>
      <c r="F384" s="412">
        <f t="shared" si="22"/>
        <v>1551224.3461538465</v>
      </c>
      <c r="G384" s="851">
        <f t="shared" si="18"/>
        <v>239112.41321864538</v>
      </c>
      <c r="H384" s="854">
        <f t="shared" si="19"/>
        <v>239112.41321864538</v>
      </c>
      <c r="I384" s="453">
        <f t="shared" si="20"/>
        <v>0</v>
      </c>
      <c r="J384" s="453"/>
      <c r="K384" s="566"/>
      <c r="L384" s="459"/>
      <c r="M384" s="566"/>
      <c r="N384" s="459"/>
      <c r="O384" s="459"/>
      <c r="P384" s="4"/>
    </row>
    <row r="385" spans="3:16">
      <c r="C385" s="449">
        <f>IF(D364="","-",+C384+1)</f>
        <v>2029</v>
      </c>
      <c r="D385" s="412">
        <f t="shared" ref="D385:D392" si="24">F384</f>
        <v>1551224.3461538465</v>
      </c>
      <c r="E385" s="456">
        <f t="shared" ref="E385:E392" si="25">IF(D385&gt;$I$367,$I$367,D385)</f>
        <v>62048.973846153844</v>
      </c>
      <c r="F385" s="412">
        <f t="shared" ref="F385:F392" si="26">+D385-E385</f>
        <v>1489175.3723076927</v>
      </c>
      <c r="G385" s="851">
        <f t="shared" ref="G385:G392" si="27">+$I$365*((D385+F385)/2)+E385</f>
        <v>232168.74892952805</v>
      </c>
      <c r="H385" s="854">
        <f t="shared" ref="H385:H392" si="28">+$I$366*((D385+F385)/2)+E385</f>
        <v>232168.74892952805</v>
      </c>
      <c r="I385" s="453">
        <f t="shared" si="20"/>
        <v>0</v>
      </c>
      <c r="J385" s="453"/>
      <c r="K385" s="566"/>
      <c r="L385" s="459"/>
      <c r="M385" s="566"/>
      <c r="N385" s="459"/>
      <c r="O385" s="459"/>
      <c r="P385" s="4"/>
    </row>
    <row r="386" spans="3:16">
      <c r="C386" s="449">
        <f>IF(D364="","-",+C385+1)</f>
        <v>2030</v>
      </c>
      <c r="D386" s="412">
        <f t="shared" si="24"/>
        <v>1489175.3723076927</v>
      </c>
      <c r="E386" s="456">
        <f t="shared" si="25"/>
        <v>62048.973846153844</v>
      </c>
      <c r="F386" s="412">
        <f t="shared" si="26"/>
        <v>1427126.3984615388</v>
      </c>
      <c r="G386" s="851">
        <f t="shared" si="27"/>
        <v>225225.08464041076</v>
      </c>
      <c r="H386" s="854">
        <f t="shared" si="28"/>
        <v>225225.08464041076</v>
      </c>
      <c r="I386" s="453">
        <f>+H351-G351</f>
        <v>0</v>
      </c>
      <c r="J386" s="453"/>
      <c r="K386" s="566"/>
      <c r="L386" s="459"/>
      <c r="M386" s="566"/>
      <c r="N386" s="459"/>
      <c r="O386" s="459"/>
      <c r="P386" s="4"/>
    </row>
    <row r="387" spans="3:16">
      <c r="C387" s="449">
        <f>IF(D365="","-",+C386+1)</f>
        <v>2031</v>
      </c>
      <c r="D387" s="412">
        <f t="shared" si="24"/>
        <v>1427126.3984615388</v>
      </c>
      <c r="E387" s="456">
        <f t="shared" si="25"/>
        <v>62048.973846153844</v>
      </c>
      <c r="F387" s="412">
        <f t="shared" si="26"/>
        <v>1365077.424615385</v>
      </c>
      <c r="G387" s="851">
        <f t="shared" si="27"/>
        <v>218281.42035129343</v>
      </c>
      <c r="H387" s="854">
        <f t="shared" si="28"/>
        <v>218281.42035129343</v>
      </c>
      <c r="I387" s="453">
        <f t="shared" si="20"/>
        <v>0</v>
      </c>
      <c r="J387" s="453"/>
      <c r="K387" s="566"/>
      <c r="L387" s="459"/>
      <c r="M387" s="566"/>
      <c r="N387" s="459"/>
      <c r="O387" s="459"/>
      <c r="P387" s="4"/>
    </row>
    <row r="388" spans="3:16">
      <c r="C388" s="449">
        <f>IF(D364="","-",+C387+1)</f>
        <v>2032</v>
      </c>
      <c r="D388" s="412">
        <f t="shared" si="24"/>
        <v>1365077.424615385</v>
      </c>
      <c r="E388" s="456">
        <f t="shared" si="25"/>
        <v>62048.973846153844</v>
      </c>
      <c r="F388" s="412">
        <f t="shared" si="26"/>
        <v>1303028.4507692312</v>
      </c>
      <c r="G388" s="851">
        <f t="shared" si="27"/>
        <v>211337.75606217614</v>
      </c>
      <c r="H388" s="854">
        <f t="shared" si="28"/>
        <v>211337.75606217614</v>
      </c>
      <c r="I388" s="453">
        <f t="shared" si="20"/>
        <v>0</v>
      </c>
      <c r="J388" s="453"/>
      <c r="K388" s="566"/>
      <c r="L388" s="459"/>
      <c r="M388" s="566"/>
      <c r="N388" s="459"/>
      <c r="O388" s="459"/>
      <c r="P388" s="4"/>
    </row>
    <row r="389" spans="3:16">
      <c r="C389" s="449">
        <f>IF(D364="","-",+C388+1)</f>
        <v>2033</v>
      </c>
      <c r="D389" s="412">
        <f t="shared" si="24"/>
        <v>1303028.4507692312</v>
      </c>
      <c r="E389" s="456">
        <f t="shared" si="25"/>
        <v>62048.973846153844</v>
      </c>
      <c r="F389" s="412">
        <f t="shared" si="26"/>
        <v>1240979.4769230774</v>
      </c>
      <c r="G389" s="851">
        <f t="shared" si="27"/>
        <v>204394.09177305881</v>
      </c>
      <c r="H389" s="854">
        <f t="shared" si="28"/>
        <v>204394.09177305881</v>
      </c>
      <c r="I389" s="453">
        <f t="shared" si="20"/>
        <v>0</v>
      </c>
      <c r="J389" s="453"/>
      <c r="K389" s="566"/>
      <c r="L389" s="459"/>
      <c r="M389" s="566"/>
      <c r="N389" s="459"/>
      <c r="O389" s="459"/>
      <c r="P389" s="4"/>
    </row>
    <row r="390" spans="3:16">
      <c r="C390" s="449">
        <f>IF(D364="","-",+C389+1)</f>
        <v>2034</v>
      </c>
      <c r="D390" s="412">
        <f t="shared" si="24"/>
        <v>1240979.4769230774</v>
      </c>
      <c r="E390" s="456">
        <f t="shared" si="25"/>
        <v>62048.973846153844</v>
      </c>
      <c r="F390" s="412">
        <f t="shared" si="26"/>
        <v>1178930.5030769235</v>
      </c>
      <c r="G390" s="851">
        <f t="shared" si="27"/>
        <v>197450.42748394152</v>
      </c>
      <c r="H390" s="854">
        <f t="shared" si="28"/>
        <v>197450.42748394152</v>
      </c>
      <c r="I390" s="453">
        <f t="shared" si="20"/>
        <v>0</v>
      </c>
      <c r="J390" s="453"/>
      <c r="K390" s="566"/>
      <c r="L390" s="459"/>
      <c r="M390" s="566"/>
      <c r="N390" s="459"/>
      <c r="O390" s="459"/>
      <c r="P390" s="4"/>
    </row>
    <row r="391" spans="3:16">
      <c r="C391" s="449">
        <f>IF(D364="","-",+C390+1)</f>
        <v>2035</v>
      </c>
      <c r="D391" s="412">
        <f t="shared" si="24"/>
        <v>1178930.5030769235</v>
      </c>
      <c r="E391" s="456">
        <f t="shared" si="25"/>
        <v>62048.973846153844</v>
      </c>
      <c r="F391" s="412">
        <f t="shared" si="26"/>
        <v>1116881.5292307697</v>
      </c>
      <c r="G391" s="851">
        <f t="shared" si="27"/>
        <v>190506.76319482419</v>
      </c>
      <c r="H391" s="854">
        <f t="shared" si="28"/>
        <v>190506.76319482419</v>
      </c>
      <c r="I391" s="453">
        <f t="shared" si="20"/>
        <v>0</v>
      </c>
      <c r="J391" s="453"/>
      <c r="K391" s="566"/>
      <c r="L391" s="459"/>
      <c r="M391" s="566"/>
      <c r="N391" s="459"/>
      <c r="O391" s="459"/>
      <c r="P391" s="4"/>
    </row>
    <row r="392" spans="3:16">
      <c r="C392" s="449">
        <f>IF(D364="","-",+C391+1)</f>
        <v>2036</v>
      </c>
      <c r="D392" s="412">
        <f t="shared" si="24"/>
        <v>1116881.5292307697</v>
      </c>
      <c r="E392" s="456">
        <f t="shared" si="25"/>
        <v>62048.973846153844</v>
      </c>
      <c r="F392" s="412">
        <f t="shared" si="26"/>
        <v>1054832.5553846159</v>
      </c>
      <c r="G392" s="851">
        <f t="shared" si="27"/>
        <v>183563.09890570689</v>
      </c>
      <c r="H392" s="854">
        <f t="shared" si="28"/>
        <v>183563.09890570689</v>
      </c>
      <c r="I392" s="453">
        <f t="shared" si="20"/>
        <v>0</v>
      </c>
      <c r="J392" s="453"/>
      <c r="K392" s="566"/>
      <c r="L392" s="459"/>
      <c r="M392" s="566"/>
      <c r="N392" s="459"/>
      <c r="O392" s="459"/>
      <c r="P392" s="4"/>
    </row>
    <row r="393" spans="3:16">
      <c r="C393" s="449">
        <f>IF(D364="","-",+C392+1)</f>
        <v>2037</v>
      </c>
      <c r="D393" s="412">
        <f t="shared" si="23"/>
        <v>1054832.5553846159</v>
      </c>
      <c r="E393" s="456">
        <f t="shared" si="21"/>
        <v>62048.973846153844</v>
      </c>
      <c r="F393" s="412">
        <f t="shared" si="22"/>
        <v>992783.58153846208</v>
      </c>
      <c r="G393" s="851">
        <f t="shared" si="18"/>
        <v>176619.43461658957</v>
      </c>
      <c r="H393" s="854">
        <f t="shared" si="19"/>
        <v>176619.43461658957</v>
      </c>
      <c r="I393" s="453">
        <f t="shared" si="20"/>
        <v>0</v>
      </c>
      <c r="J393" s="453"/>
      <c r="K393" s="566"/>
      <c r="L393" s="459"/>
      <c r="M393" s="566"/>
      <c r="N393" s="459"/>
      <c r="O393" s="459"/>
      <c r="P393" s="4"/>
    </row>
    <row r="394" spans="3:16">
      <c r="C394" s="449">
        <f>IF(D364="","-",+C393+1)</f>
        <v>2038</v>
      </c>
      <c r="D394" s="412">
        <f t="shared" si="23"/>
        <v>992783.58153846208</v>
      </c>
      <c r="E394" s="456">
        <f t="shared" si="21"/>
        <v>62048.973846153844</v>
      </c>
      <c r="F394" s="412">
        <f t="shared" si="22"/>
        <v>930734.60769230826</v>
      </c>
      <c r="G394" s="851">
        <f t="shared" si="18"/>
        <v>169675.77032747227</v>
      </c>
      <c r="H394" s="854">
        <f t="shared" si="19"/>
        <v>169675.77032747227</v>
      </c>
      <c r="I394" s="453">
        <f t="shared" si="20"/>
        <v>0</v>
      </c>
      <c r="J394" s="453"/>
      <c r="K394" s="566"/>
      <c r="L394" s="459"/>
      <c r="M394" s="566"/>
      <c r="N394" s="459"/>
      <c r="O394" s="459"/>
      <c r="P394" s="4"/>
    </row>
    <row r="395" spans="3:16">
      <c r="C395" s="449">
        <f>IF(D364="","-",+C394+1)</f>
        <v>2039</v>
      </c>
      <c r="D395" s="412">
        <f t="shared" si="23"/>
        <v>930734.60769230826</v>
      </c>
      <c r="E395" s="456">
        <f t="shared" si="21"/>
        <v>62048.973846153844</v>
      </c>
      <c r="F395" s="412">
        <f t="shared" si="22"/>
        <v>868685.63384615444</v>
      </c>
      <c r="G395" s="851">
        <f t="shared" si="18"/>
        <v>162732.10603835495</v>
      </c>
      <c r="H395" s="854">
        <f t="shared" si="19"/>
        <v>162732.10603835495</v>
      </c>
      <c r="I395" s="453">
        <f t="shared" si="20"/>
        <v>0</v>
      </c>
      <c r="J395" s="453"/>
      <c r="K395" s="566"/>
      <c r="L395" s="459"/>
      <c r="M395" s="566"/>
      <c r="N395" s="459"/>
      <c r="O395" s="459"/>
      <c r="P395" s="4"/>
    </row>
    <row r="396" spans="3:16">
      <c r="C396" s="449">
        <f>IF(D364="","-",+C395+1)</f>
        <v>2040</v>
      </c>
      <c r="D396" s="412">
        <f t="shared" si="23"/>
        <v>868685.63384615444</v>
      </c>
      <c r="E396" s="456">
        <f t="shared" si="21"/>
        <v>62048.973846153844</v>
      </c>
      <c r="F396" s="412">
        <f t="shared" si="22"/>
        <v>806636.66000000061</v>
      </c>
      <c r="G396" s="851">
        <f t="shared" si="18"/>
        <v>155788.44174923765</v>
      </c>
      <c r="H396" s="854">
        <f t="shared" si="19"/>
        <v>155788.44174923765</v>
      </c>
      <c r="I396" s="453">
        <f t="shared" si="20"/>
        <v>0</v>
      </c>
      <c r="J396" s="453"/>
      <c r="K396" s="566"/>
      <c r="L396" s="459"/>
      <c r="M396" s="566"/>
      <c r="N396" s="459"/>
      <c r="O396" s="459"/>
      <c r="P396" s="4"/>
    </row>
    <row r="397" spans="3:16">
      <c r="C397" s="449">
        <f>IF(D364="","-",+C396+1)</f>
        <v>2041</v>
      </c>
      <c r="D397" s="412">
        <f t="shared" si="23"/>
        <v>806636.66000000061</v>
      </c>
      <c r="E397" s="456">
        <f t="shared" si="21"/>
        <v>62048.973846153844</v>
      </c>
      <c r="F397" s="412">
        <f t="shared" si="22"/>
        <v>744587.68615384679</v>
      </c>
      <c r="G397" s="851">
        <f t="shared" si="18"/>
        <v>148844.77746012033</v>
      </c>
      <c r="H397" s="854">
        <f t="shared" si="19"/>
        <v>148844.77746012033</v>
      </c>
      <c r="I397" s="453">
        <f t="shared" si="20"/>
        <v>0</v>
      </c>
      <c r="J397" s="453"/>
      <c r="K397" s="566"/>
      <c r="L397" s="459"/>
      <c r="M397" s="566"/>
      <c r="N397" s="459"/>
      <c r="O397" s="459"/>
      <c r="P397" s="4"/>
    </row>
    <row r="398" spans="3:16">
      <c r="C398" s="449">
        <f>IF(D364="","-",+C397+1)</f>
        <v>2042</v>
      </c>
      <c r="D398" s="412">
        <f t="shared" si="23"/>
        <v>744587.68615384679</v>
      </c>
      <c r="E398" s="456">
        <f t="shared" si="21"/>
        <v>62048.973846153844</v>
      </c>
      <c r="F398" s="412">
        <f t="shared" si="22"/>
        <v>682538.71230769297</v>
      </c>
      <c r="G398" s="860">
        <f t="shared" si="18"/>
        <v>141901.11317100303</v>
      </c>
      <c r="H398" s="854">
        <f t="shared" si="19"/>
        <v>141901.11317100303</v>
      </c>
      <c r="I398" s="453">
        <f t="shared" si="20"/>
        <v>0</v>
      </c>
      <c r="J398" s="453"/>
      <c r="K398" s="566"/>
      <c r="L398" s="459"/>
      <c r="M398" s="566"/>
      <c r="N398" s="459"/>
      <c r="O398" s="459"/>
      <c r="P398" s="4"/>
    </row>
    <row r="399" spans="3:16">
      <c r="C399" s="449">
        <f>IF(D364="","-",+C398+1)</f>
        <v>2043</v>
      </c>
      <c r="D399" s="412">
        <f t="shared" si="23"/>
        <v>682538.71230769297</v>
      </c>
      <c r="E399" s="456">
        <f t="shared" si="21"/>
        <v>62048.973846153844</v>
      </c>
      <c r="F399" s="412">
        <f t="shared" si="22"/>
        <v>620489.73846153915</v>
      </c>
      <c r="G399" s="851">
        <f t="shared" si="18"/>
        <v>134957.44888188571</v>
      </c>
      <c r="H399" s="854">
        <f t="shared" si="19"/>
        <v>134957.44888188571</v>
      </c>
      <c r="I399" s="453">
        <f t="shared" si="20"/>
        <v>0</v>
      </c>
      <c r="J399" s="453"/>
      <c r="K399" s="566"/>
      <c r="L399" s="459"/>
      <c r="M399" s="566"/>
      <c r="N399" s="459"/>
      <c r="O399" s="459"/>
      <c r="P399" s="4"/>
    </row>
    <row r="400" spans="3:16">
      <c r="C400" s="449">
        <f>IF(D364="","-",+C399+1)</f>
        <v>2044</v>
      </c>
      <c r="D400" s="412">
        <f t="shared" si="23"/>
        <v>620489.73846153915</v>
      </c>
      <c r="E400" s="456">
        <f t="shared" si="21"/>
        <v>62048.973846153844</v>
      </c>
      <c r="F400" s="412">
        <f t="shared" si="22"/>
        <v>558440.76461538533</v>
      </c>
      <c r="G400" s="851">
        <f t="shared" si="18"/>
        <v>128013.78459276841</v>
      </c>
      <c r="H400" s="854">
        <f t="shared" si="19"/>
        <v>128013.78459276841</v>
      </c>
      <c r="I400" s="453">
        <f t="shared" si="20"/>
        <v>0</v>
      </c>
      <c r="J400" s="453"/>
      <c r="K400" s="566"/>
      <c r="L400" s="459"/>
      <c r="M400" s="566"/>
      <c r="N400" s="459"/>
      <c r="O400" s="459"/>
      <c r="P400" s="4"/>
    </row>
    <row r="401" spans="3:16">
      <c r="C401" s="449">
        <f>IF(D364="","-",+C400+1)</f>
        <v>2045</v>
      </c>
      <c r="D401" s="412">
        <f t="shared" si="23"/>
        <v>558440.76461538533</v>
      </c>
      <c r="E401" s="456">
        <f t="shared" si="21"/>
        <v>62048.973846153844</v>
      </c>
      <c r="F401" s="412">
        <f t="shared" si="22"/>
        <v>496391.79076923151</v>
      </c>
      <c r="G401" s="851">
        <f t="shared" si="18"/>
        <v>121070.12030365109</v>
      </c>
      <c r="H401" s="854">
        <f t="shared" si="19"/>
        <v>121070.12030365109</v>
      </c>
      <c r="I401" s="453">
        <f t="shared" si="20"/>
        <v>0</v>
      </c>
      <c r="J401" s="453"/>
      <c r="K401" s="566"/>
      <c r="L401" s="459"/>
      <c r="M401" s="566"/>
      <c r="N401" s="459"/>
      <c r="O401" s="459"/>
      <c r="P401" s="4"/>
    </row>
    <row r="402" spans="3:16">
      <c r="C402" s="449">
        <f>IF(D364="","-",+C401+1)</f>
        <v>2046</v>
      </c>
      <c r="D402" s="412">
        <f t="shared" si="23"/>
        <v>496391.79076923151</v>
      </c>
      <c r="E402" s="456">
        <f t="shared" si="21"/>
        <v>62048.973846153844</v>
      </c>
      <c r="F402" s="412">
        <f t="shared" si="22"/>
        <v>434342.81692307768</v>
      </c>
      <c r="G402" s="851">
        <f t="shared" si="18"/>
        <v>114126.45601453379</v>
      </c>
      <c r="H402" s="854">
        <f t="shared" si="19"/>
        <v>114126.45601453379</v>
      </c>
      <c r="I402" s="453">
        <f t="shared" si="20"/>
        <v>0</v>
      </c>
      <c r="J402" s="453"/>
      <c r="K402" s="566"/>
      <c r="L402" s="459"/>
      <c r="M402" s="566"/>
      <c r="N402" s="459"/>
      <c r="O402" s="459"/>
      <c r="P402" s="4"/>
    </row>
    <row r="403" spans="3:16">
      <c r="C403" s="449">
        <f>IF(D364="","-",+C402+1)</f>
        <v>2047</v>
      </c>
      <c r="D403" s="412">
        <f t="shared" si="23"/>
        <v>434342.81692307768</v>
      </c>
      <c r="E403" s="456">
        <f t="shared" si="21"/>
        <v>62048.973846153844</v>
      </c>
      <c r="F403" s="412">
        <f t="shared" si="22"/>
        <v>372293.84307692386</v>
      </c>
      <c r="G403" s="851">
        <f t="shared" si="18"/>
        <v>107182.79172541646</v>
      </c>
      <c r="H403" s="854">
        <f t="shared" si="19"/>
        <v>107182.79172541646</v>
      </c>
      <c r="I403" s="453">
        <f t="shared" si="20"/>
        <v>0</v>
      </c>
      <c r="J403" s="453"/>
      <c r="K403" s="566"/>
      <c r="L403" s="459"/>
      <c r="M403" s="566"/>
      <c r="N403" s="459"/>
      <c r="O403" s="459"/>
      <c r="P403" s="4"/>
    </row>
    <row r="404" spans="3:16">
      <c r="C404" s="449">
        <f>IF(D364="","-",+C403+1)</f>
        <v>2048</v>
      </c>
      <c r="D404" s="412">
        <f t="shared" si="23"/>
        <v>372293.84307692386</v>
      </c>
      <c r="E404" s="456">
        <f t="shared" si="21"/>
        <v>62048.973846153844</v>
      </c>
      <c r="F404" s="412">
        <f t="shared" si="22"/>
        <v>310244.86923077004</v>
      </c>
      <c r="G404" s="851">
        <f t="shared" si="18"/>
        <v>100239.12743629915</v>
      </c>
      <c r="H404" s="854">
        <f t="shared" si="19"/>
        <v>100239.12743629915</v>
      </c>
      <c r="I404" s="453">
        <f t="shared" si="20"/>
        <v>0</v>
      </c>
      <c r="J404" s="453"/>
      <c r="K404" s="566"/>
      <c r="L404" s="459"/>
      <c r="M404" s="566"/>
      <c r="N404" s="459"/>
      <c r="O404" s="459"/>
      <c r="P404" s="4"/>
    </row>
    <row r="405" spans="3:16">
      <c r="C405" s="449">
        <f>IF(D364="","-",+C404+1)</f>
        <v>2049</v>
      </c>
      <c r="D405" s="412">
        <f t="shared" si="23"/>
        <v>310244.86923077004</v>
      </c>
      <c r="E405" s="456">
        <f t="shared" si="21"/>
        <v>62048.973846153844</v>
      </c>
      <c r="F405" s="412">
        <f t="shared" si="22"/>
        <v>248195.89538461619</v>
      </c>
      <c r="G405" s="851">
        <f t="shared" si="18"/>
        <v>93295.463147181843</v>
      </c>
      <c r="H405" s="854">
        <f t="shared" si="19"/>
        <v>93295.463147181843</v>
      </c>
      <c r="I405" s="453">
        <f t="shared" si="20"/>
        <v>0</v>
      </c>
      <c r="J405" s="453"/>
      <c r="K405" s="566"/>
      <c r="L405" s="459"/>
      <c r="M405" s="566"/>
      <c r="N405" s="459"/>
      <c r="O405" s="459"/>
      <c r="P405" s="4"/>
    </row>
    <row r="406" spans="3:16">
      <c r="C406" s="449">
        <f>IF(D364="","-",+C405+1)</f>
        <v>2050</v>
      </c>
      <c r="D406" s="412">
        <f t="shared" si="23"/>
        <v>248195.89538461619</v>
      </c>
      <c r="E406" s="456">
        <f t="shared" si="21"/>
        <v>62048.973846153844</v>
      </c>
      <c r="F406" s="412">
        <f t="shared" si="22"/>
        <v>186146.92153846234</v>
      </c>
      <c r="G406" s="851">
        <f t="shared" si="18"/>
        <v>86351.798858064532</v>
      </c>
      <c r="H406" s="854">
        <f t="shared" si="19"/>
        <v>86351.798858064532</v>
      </c>
      <c r="I406" s="453">
        <f t="shared" si="20"/>
        <v>0</v>
      </c>
      <c r="J406" s="453"/>
      <c r="K406" s="566"/>
      <c r="L406" s="459"/>
      <c r="M406" s="566"/>
      <c r="N406" s="459"/>
      <c r="O406" s="459"/>
      <c r="P406" s="4"/>
    </row>
    <row r="407" spans="3:16">
      <c r="C407" s="449">
        <f>IF(D364="","-",+C406+1)</f>
        <v>2051</v>
      </c>
      <c r="D407" s="412">
        <f t="shared" si="23"/>
        <v>186146.92153846234</v>
      </c>
      <c r="E407" s="456">
        <f t="shared" si="21"/>
        <v>62048.973846153844</v>
      </c>
      <c r="F407" s="412">
        <f t="shared" si="22"/>
        <v>124097.94769230849</v>
      </c>
      <c r="G407" s="851">
        <f t="shared" si="18"/>
        <v>79408.134568947222</v>
      </c>
      <c r="H407" s="854">
        <f t="shared" si="19"/>
        <v>79408.134568947222</v>
      </c>
      <c r="I407" s="453">
        <f t="shared" si="20"/>
        <v>0</v>
      </c>
      <c r="J407" s="453"/>
      <c r="K407" s="566"/>
      <c r="L407" s="459"/>
      <c r="M407" s="566"/>
      <c r="N407" s="459"/>
      <c r="O407" s="459"/>
      <c r="P407" s="4"/>
    </row>
    <row r="408" spans="3:16">
      <c r="C408" s="449">
        <f>IF(D364="","-",+C407+1)</f>
        <v>2052</v>
      </c>
      <c r="D408" s="412">
        <f t="shared" si="23"/>
        <v>124097.94769230849</v>
      </c>
      <c r="E408" s="456">
        <f t="shared" si="21"/>
        <v>62048.973846153844</v>
      </c>
      <c r="F408" s="412">
        <f t="shared" si="22"/>
        <v>62048.973846154644</v>
      </c>
      <c r="G408" s="851">
        <f t="shared" si="18"/>
        <v>72464.470279829897</v>
      </c>
      <c r="H408" s="854">
        <f t="shared" si="19"/>
        <v>72464.470279829897</v>
      </c>
      <c r="I408" s="453">
        <f t="shared" si="20"/>
        <v>0</v>
      </c>
      <c r="J408" s="453"/>
      <c r="K408" s="566"/>
      <c r="L408" s="459"/>
      <c r="M408" s="566"/>
      <c r="N408" s="459"/>
      <c r="O408" s="459"/>
      <c r="P408" s="4"/>
    </row>
    <row r="409" spans="3:16">
      <c r="C409" s="449">
        <f>IF(D364="","-",+C408+1)</f>
        <v>2053</v>
      </c>
      <c r="D409" s="412">
        <f t="shared" si="23"/>
        <v>62048.973846154644</v>
      </c>
      <c r="E409" s="456">
        <f t="shared" si="21"/>
        <v>62048.973846153844</v>
      </c>
      <c r="F409" s="412">
        <f t="shared" si="22"/>
        <v>8.0035533756017685E-10</v>
      </c>
      <c r="G409" s="851">
        <f t="shared" si="18"/>
        <v>65520.805990712586</v>
      </c>
      <c r="H409" s="854">
        <f t="shared" si="19"/>
        <v>65520.805990712586</v>
      </c>
      <c r="I409" s="453">
        <f t="shared" si="20"/>
        <v>0</v>
      </c>
      <c r="J409" s="453"/>
      <c r="K409" s="566"/>
      <c r="L409" s="459"/>
      <c r="M409" s="566"/>
      <c r="N409" s="459"/>
      <c r="O409" s="459"/>
      <c r="P409" s="4"/>
    </row>
    <row r="410" spans="3:16">
      <c r="C410" s="449">
        <f>IF(D364="","-",+C409+1)</f>
        <v>2054</v>
      </c>
      <c r="D410" s="412">
        <f t="shared" si="23"/>
        <v>8.0035533756017685E-10</v>
      </c>
      <c r="E410" s="456">
        <f t="shared" si="21"/>
        <v>8.0035533756017685E-10</v>
      </c>
      <c r="F410" s="412">
        <f t="shared" si="22"/>
        <v>0</v>
      </c>
      <c r="G410" s="851">
        <f t="shared" si="18"/>
        <v>8.4513769600658907E-10</v>
      </c>
      <c r="H410" s="854">
        <f t="shared" si="19"/>
        <v>8.4513769600658907E-10</v>
      </c>
      <c r="I410" s="453">
        <f t="shared" si="20"/>
        <v>0</v>
      </c>
      <c r="J410" s="453"/>
      <c r="K410" s="566"/>
      <c r="L410" s="459"/>
      <c r="M410" s="566"/>
      <c r="N410" s="459"/>
      <c r="O410" s="459"/>
      <c r="P410" s="4"/>
    </row>
    <row r="411" spans="3:16">
      <c r="C411" s="449">
        <f>IF(D364="","-",+C410+1)</f>
        <v>2055</v>
      </c>
      <c r="D411" s="412">
        <f t="shared" si="23"/>
        <v>0</v>
      </c>
      <c r="E411" s="456">
        <f t="shared" si="21"/>
        <v>0</v>
      </c>
      <c r="F411" s="412">
        <f t="shared" si="22"/>
        <v>0</v>
      </c>
      <c r="G411" s="851">
        <f t="shared" si="18"/>
        <v>0</v>
      </c>
      <c r="H411" s="854">
        <f t="shared" si="19"/>
        <v>0</v>
      </c>
      <c r="I411" s="453">
        <f t="shared" si="20"/>
        <v>0</v>
      </c>
      <c r="J411" s="453"/>
      <c r="K411" s="566"/>
      <c r="L411" s="459"/>
      <c r="M411" s="566"/>
      <c r="N411" s="459"/>
      <c r="O411" s="459"/>
      <c r="P411" s="4"/>
    </row>
    <row r="412" spans="3:16">
      <c r="C412" s="449">
        <f>IF(D364="","-",+C411+1)</f>
        <v>2056</v>
      </c>
      <c r="D412" s="412">
        <f t="shared" si="23"/>
        <v>0</v>
      </c>
      <c r="E412" s="456">
        <f t="shared" si="21"/>
        <v>0</v>
      </c>
      <c r="F412" s="412">
        <f t="shared" si="22"/>
        <v>0</v>
      </c>
      <c r="G412" s="851">
        <f t="shared" si="18"/>
        <v>0</v>
      </c>
      <c r="H412" s="854">
        <f t="shared" si="19"/>
        <v>0</v>
      </c>
      <c r="I412" s="453">
        <f t="shared" si="20"/>
        <v>0</v>
      </c>
      <c r="J412" s="453"/>
      <c r="K412" s="566"/>
      <c r="L412" s="459"/>
      <c r="M412" s="566"/>
      <c r="N412" s="459"/>
      <c r="O412" s="459"/>
      <c r="P412" s="4"/>
    </row>
    <row r="413" spans="3:16">
      <c r="C413" s="449">
        <f>IF(D364="","-",+C412+1)</f>
        <v>2057</v>
      </c>
      <c r="D413" s="412">
        <f t="shared" si="23"/>
        <v>0</v>
      </c>
      <c r="E413" s="456">
        <f t="shared" si="21"/>
        <v>0</v>
      </c>
      <c r="F413" s="412">
        <f t="shared" si="22"/>
        <v>0</v>
      </c>
      <c r="G413" s="851">
        <f t="shared" si="18"/>
        <v>0</v>
      </c>
      <c r="H413" s="854">
        <f t="shared" si="19"/>
        <v>0</v>
      </c>
      <c r="I413" s="453">
        <f t="shared" si="20"/>
        <v>0</v>
      </c>
      <c r="J413" s="453"/>
      <c r="K413" s="566"/>
      <c r="L413" s="459"/>
      <c r="M413" s="566"/>
      <c r="N413" s="459"/>
      <c r="O413" s="459"/>
      <c r="P413" s="4"/>
    </row>
    <row r="414" spans="3:16">
      <c r="C414" s="449">
        <f>IF(D364="","-",+C413+1)</f>
        <v>2058</v>
      </c>
      <c r="D414" s="412">
        <f t="shared" si="23"/>
        <v>0</v>
      </c>
      <c r="E414" s="456">
        <f t="shared" si="21"/>
        <v>0</v>
      </c>
      <c r="F414" s="412">
        <f t="shared" si="22"/>
        <v>0</v>
      </c>
      <c r="G414" s="851">
        <f t="shared" si="18"/>
        <v>0</v>
      </c>
      <c r="H414" s="854">
        <f t="shared" si="19"/>
        <v>0</v>
      </c>
      <c r="I414" s="453">
        <f t="shared" si="20"/>
        <v>0</v>
      </c>
      <c r="J414" s="453"/>
      <c r="K414" s="566"/>
      <c r="L414" s="459"/>
      <c r="M414" s="566"/>
      <c r="N414" s="459"/>
      <c r="O414" s="459"/>
      <c r="P414" s="4"/>
    </row>
    <row r="415" spans="3:16">
      <c r="C415" s="449">
        <f>IF(D364="","-",+C414+1)</f>
        <v>2059</v>
      </c>
      <c r="D415" s="412">
        <f t="shared" si="23"/>
        <v>0</v>
      </c>
      <c r="E415" s="456">
        <f t="shared" si="21"/>
        <v>0</v>
      </c>
      <c r="F415" s="412">
        <f t="shared" si="22"/>
        <v>0</v>
      </c>
      <c r="G415" s="851">
        <f t="shared" si="18"/>
        <v>0</v>
      </c>
      <c r="H415" s="854">
        <f t="shared" si="19"/>
        <v>0</v>
      </c>
      <c r="I415" s="453">
        <f t="shared" si="20"/>
        <v>0</v>
      </c>
      <c r="J415" s="453"/>
      <c r="K415" s="566"/>
      <c r="L415" s="459"/>
      <c r="M415" s="566"/>
      <c r="N415" s="459"/>
      <c r="O415" s="459"/>
      <c r="P415" s="4"/>
    </row>
    <row r="416" spans="3:16">
      <c r="C416" s="449">
        <f>IF(D364="","-",+C415+1)</f>
        <v>2060</v>
      </c>
      <c r="D416" s="412">
        <f t="shared" si="23"/>
        <v>0</v>
      </c>
      <c r="E416" s="456">
        <f t="shared" si="21"/>
        <v>0</v>
      </c>
      <c r="F416" s="412">
        <f t="shared" si="22"/>
        <v>0</v>
      </c>
      <c r="G416" s="851">
        <f t="shared" si="18"/>
        <v>0</v>
      </c>
      <c r="H416" s="854">
        <f t="shared" si="19"/>
        <v>0</v>
      </c>
      <c r="I416" s="453">
        <f t="shared" si="20"/>
        <v>0</v>
      </c>
      <c r="J416" s="453"/>
      <c r="K416" s="566"/>
      <c r="L416" s="459"/>
      <c r="M416" s="566"/>
      <c r="N416" s="459"/>
      <c r="O416" s="459"/>
      <c r="P416" s="4"/>
    </row>
    <row r="417" spans="3:16">
      <c r="C417" s="449">
        <f>IF(D364="","-",+C416+1)</f>
        <v>2061</v>
      </c>
      <c r="D417" s="412">
        <f t="shared" si="23"/>
        <v>0</v>
      </c>
      <c r="E417" s="456">
        <f t="shared" si="21"/>
        <v>0</v>
      </c>
      <c r="F417" s="412">
        <f t="shared" si="22"/>
        <v>0</v>
      </c>
      <c r="G417" s="851">
        <f t="shared" si="18"/>
        <v>0</v>
      </c>
      <c r="H417" s="854">
        <f t="shared" si="19"/>
        <v>0</v>
      </c>
      <c r="I417" s="453">
        <f t="shared" si="20"/>
        <v>0</v>
      </c>
      <c r="J417" s="453"/>
      <c r="K417" s="566"/>
      <c r="L417" s="459"/>
      <c r="M417" s="566"/>
      <c r="N417" s="459"/>
      <c r="O417" s="459"/>
      <c r="P417" s="4"/>
    </row>
    <row r="418" spans="3:16">
      <c r="C418" s="449">
        <f>IF(D364="","-",+C417+1)</f>
        <v>2062</v>
      </c>
      <c r="D418" s="412">
        <f t="shared" si="23"/>
        <v>0</v>
      </c>
      <c r="E418" s="456">
        <f t="shared" si="21"/>
        <v>0</v>
      </c>
      <c r="F418" s="412">
        <f t="shared" si="22"/>
        <v>0</v>
      </c>
      <c r="G418" s="851">
        <f t="shared" si="18"/>
        <v>0</v>
      </c>
      <c r="H418" s="854">
        <f t="shared" si="19"/>
        <v>0</v>
      </c>
      <c r="I418" s="453">
        <f t="shared" si="20"/>
        <v>0</v>
      </c>
      <c r="J418" s="453"/>
      <c r="K418" s="566"/>
      <c r="L418" s="459"/>
      <c r="M418" s="566"/>
      <c r="N418" s="459"/>
      <c r="O418" s="459"/>
      <c r="P418" s="4"/>
    </row>
    <row r="419" spans="3:16">
      <c r="C419" s="449">
        <f>IF(D364="","-",+C418+1)</f>
        <v>2063</v>
      </c>
      <c r="D419" s="412">
        <f t="shared" si="23"/>
        <v>0</v>
      </c>
      <c r="E419" s="456">
        <f t="shared" si="21"/>
        <v>0</v>
      </c>
      <c r="F419" s="412">
        <f t="shared" si="22"/>
        <v>0</v>
      </c>
      <c r="G419" s="851">
        <f t="shared" si="18"/>
        <v>0</v>
      </c>
      <c r="H419" s="854">
        <f t="shared" si="19"/>
        <v>0</v>
      </c>
      <c r="I419" s="453">
        <f t="shared" si="20"/>
        <v>0</v>
      </c>
      <c r="J419" s="453"/>
      <c r="K419" s="566"/>
      <c r="L419" s="459"/>
      <c r="M419" s="566"/>
      <c r="N419" s="459"/>
      <c r="O419" s="459"/>
      <c r="P419" s="4"/>
    </row>
    <row r="420" spans="3:16">
      <c r="C420" s="449">
        <f>IF(D364="","-",+C419+1)</f>
        <v>2064</v>
      </c>
      <c r="D420" s="412">
        <f t="shared" si="23"/>
        <v>0</v>
      </c>
      <c r="E420" s="456">
        <f t="shared" si="21"/>
        <v>0</v>
      </c>
      <c r="F420" s="412">
        <f t="shared" si="22"/>
        <v>0</v>
      </c>
      <c r="G420" s="851">
        <f t="shared" si="18"/>
        <v>0</v>
      </c>
      <c r="H420" s="854">
        <f t="shared" si="19"/>
        <v>0</v>
      </c>
      <c r="I420" s="453">
        <f t="shared" si="20"/>
        <v>0</v>
      </c>
      <c r="J420" s="453"/>
      <c r="K420" s="566"/>
      <c r="L420" s="459"/>
      <c r="M420" s="566"/>
      <c r="N420" s="459"/>
      <c r="O420" s="459"/>
      <c r="P420" s="4"/>
    </row>
    <row r="421" spans="3:16">
      <c r="C421" s="449">
        <f>IF(D364="","-",+C420+1)</f>
        <v>2065</v>
      </c>
      <c r="D421" s="412">
        <f t="shared" si="23"/>
        <v>0</v>
      </c>
      <c r="E421" s="456">
        <f t="shared" si="21"/>
        <v>0</v>
      </c>
      <c r="F421" s="412">
        <f t="shared" si="22"/>
        <v>0</v>
      </c>
      <c r="G421" s="851">
        <f t="shared" si="18"/>
        <v>0</v>
      </c>
      <c r="H421" s="854">
        <f t="shared" si="19"/>
        <v>0</v>
      </c>
      <c r="I421" s="453">
        <f t="shared" si="20"/>
        <v>0</v>
      </c>
      <c r="J421" s="453"/>
      <c r="K421" s="566"/>
      <c r="L421" s="459"/>
      <c r="M421" s="566"/>
      <c r="N421" s="459"/>
      <c r="O421" s="459"/>
      <c r="P421" s="4"/>
    </row>
    <row r="422" spans="3:16">
      <c r="C422" s="449">
        <f>IF(D364="","-",+C421+1)</f>
        <v>2066</v>
      </c>
      <c r="D422" s="412">
        <f t="shared" si="23"/>
        <v>0</v>
      </c>
      <c r="E422" s="456">
        <f t="shared" si="21"/>
        <v>0</v>
      </c>
      <c r="F422" s="412">
        <f t="shared" si="22"/>
        <v>0</v>
      </c>
      <c r="G422" s="851">
        <f t="shared" si="18"/>
        <v>0</v>
      </c>
      <c r="H422" s="854">
        <f t="shared" si="19"/>
        <v>0</v>
      </c>
      <c r="I422" s="453">
        <f t="shared" si="20"/>
        <v>0</v>
      </c>
      <c r="J422" s="453"/>
      <c r="K422" s="566"/>
      <c r="L422" s="459"/>
      <c r="M422" s="566"/>
      <c r="N422" s="459"/>
      <c r="O422" s="459"/>
      <c r="P422" s="4"/>
    </row>
    <row r="423" spans="3:16">
      <c r="C423" s="449">
        <f>IF(D364="","-",+C422+1)</f>
        <v>2067</v>
      </c>
      <c r="D423" s="412">
        <f t="shared" si="23"/>
        <v>0</v>
      </c>
      <c r="E423" s="456">
        <f t="shared" si="21"/>
        <v>0</v>
      </c>
      <c r="F423" s="412">
        <f t="shared" si="22"/>
        <v>0</v>
      </c>
      <c r="G423" s="851">
        <f t="shared" si="18"/>
        <v>0</v>
      </c>
      <c r="H423" s="854">
        <f t="shared" si="19"/>
        <v>0</v>
      </c>
      <c r="I423" s="453">
        <f t="shared" si="20"/>
        <v>0</v>
      </c>
      <c r="J423" s="453"/>
      <c r="K423" s="566"/>
      <c r="L423" s="459"/>
      <c r="M423" s="566"/>
      <c r="N423" s="459"/>
      <c r="O423" s="459"/>
      <c r="P423" s="4"/>
    </row>
    <row r="424" spans="3:16">
      <c r="C424" s="449">
        <f>IF(D364="","-",+C423+1)</f>
        <v>2068</v>
      </c>
      <c r="D424" s="412">
        <f t="shared" si="23"/>
        <v>0</v>
      </c>
      <c r="E424" s="456">
        <f t="shared" si="21"/>
        <v>0</v>
      </c>
      <c r="F424" s="412">
        <f t="shared" si="22"/>
        <v>0</v>
      </c>
      <c r="G424" s="851">
        <f t="shared" si="18"/>
        <v>0</v>
      </c>
      <c r="H424" s="854">
        <f t="shared" si="19"/>
        <v>0</v>
      </c>
      <c r="I424" s="453">
        <f t="shared" si="20"/>
        <v>0</v>
      </c>
      <c r="J424" s="453"/>
      <c r="K424" s="566"/>
      <c r="L424" s="459"/>
      <c r="M424" s="566"/>
      <c r="N424" s="459"/>
      <c r="O424" s="459"/>
      <c r="P424" s="4"/>
    </row>
    <row r="425" spans="3:16">
      <c r="C425" s="449">
        <f>IF(D364="","-",+C424+1)</f>
        <v>2069</v>
      </c>
      <c r="D425" s="412">
        <f t="shared" si="23"/>
        <v>0</v>
      </c>
      <c r="E425" s="456">
        <f t="shared" si="21"/>
        <v>0</v>
      </c>
      <c r="F425" s="412">
        <f t="shared" si="22"/>
        <v>0</v>
      </c>
      <c r="G425" s="851">
        <f t="shared" si="18"/>
        <v>0</v>
      </c>
      <c r="H425" s="854">
        <f t="shared" si="19"/>
        <v>0</v>
      </c>
      <c r="I425" s="453">
        <f t="shared" si="20"/>
        <v>0</v>
      </c>
      <c r="J425" s="453"/>
      <c r="K425" s="566"/>
      <c r="L425" s="459"/>
      <c r="M425" s="566"/>
      <c r="N425" s="459"/>
      <c r="O425" s="459"/>
      <c r="P425" s="4"/>
    </row>
    <row r="426" spans="3:16">
      <c r="C426" s="449">
        <f>IF(D364="","-",+C425+1)</f>
        <v>2070</v>
      </c>
      <c r="D426" s="412">
        <f t="shared" si="23"/>
        <v>0</v>
      </c>
      <c r="E426" s="456">
        <f t="shared" si="21"/>
        <v>0</v>
      </c>
      <c r="F426" s="412">
        <f t="shared" si="22"/>
        <v>0</v>
      </c>
      <c r="G426" s="851">
        <f t="shared" si="18"/>
        <v>0</v>
      </c>
      <c r="H426" s="854">
        <f t="shared" si="19"/>
        <v>0</v>
      </c>
      <c r="I426" s="453">
        <f t="shared" si="20"/>
        <v>0</v>
      </c>
      <c r="J426" s="453"/>
      <c r="K426" s="566"/>
      <c r="L426" s="459"/>
      <c r="M426" s="566"/>
      <c r="N426" s="459"/>
      <c r="O426" s="459"/>
      <c r="P426" s="4"/>
    </row>
    <row r="427" spans="3:16">
      <c r="C427" s="449">
        <f>IF(D364="","-",+C426+1)</f>
        <v>2071</v>
      </c>
      <c r="D427" s="412">
        <f t="shared" si="23"/>
        <v>0</v>
      </c>
      <c r="E427" s="456">
        <f t="shared" si="21"/>
        <v>0</v>
      </c>
      <c r="F427" s="412">
        <f t="shared" si="22"/>
        <v>0</v>
      </c>
      <c r="G427" s="851">
        <f t="shared" si="18"/>
        <v>0</v>
      </c>
      <c r="H427" s="854">
        <f t="shared" si="19"/>
        <v>0</v>
      </c>
      <c r="I427" s="453">
        <f t="shared" si="20"/>
        <v>0</v>
      </c>
      <c r="J427" s="453"/>
      <c r="K427" s="566"/>
      <c r="L427" s="459"/>
      <c r="M427" s="566"/>
      <c r="N427" s="459"/>
      <c r="O427" s="459"/>
      <c r="P427" s="4"/>
    </row>
    <row r="428" spans="3:16">
      <c r="C428" s="449">
        <f>IF(D364="","-",+C427+1)</f>
        <v>2072</v>
      </c>
      <c r="D428" s="412">
        <f t="shared" si="23"/>
        <v>0</v>
      </c>
      <c r="E428" s="456">
        <f t="shared" si="21"/>
        <v>0</v>
      </c>
      <c r="F428" s="412">
        <f t="shared" si="22"/>
        <v>0</v>
      </c>
      <c r="G428" s="851">
        <f t="shared" si="18"/>
        <v>0</v>
      </c>
      <c r="H428" s="854">
        <f t="shared" si="19"/>
        <v>0</v>
      </c>
      <c r="I428" s="453">
        <f t="shared" si="20"/>
        <v>0</v>
      </c>
      <c r="J428" s="453"/>
      <c r="K428" s="566"/>
      <c r="L428" s="459"/>
      <c r="M428" s="566"/>
      <c r="N428" s="459"/>
      <c r="O428" s="459"/>
      <c r="P428" s="4"/>
    </row>
    <row r="429" spans="3:16" ht="13.5" thickBot="1">
      <c r="C429" s="461">
        <f>IF(D364="","-",+C428+1)</f>
        <v>2073</v>
      </c>
      <c r="D429" s="462">
        <f t="shared" si="23"/>
        <v>0</v>
      </c>
      <c r="E429" s="463">
        <f t="shared" si="21"/>
        <v>0</v>
      </c>
      <c r="F429" s="462">
        <f t="shared" si="22"/>
        <v>0</v>
      </c>
      <c r="G429" s="861">
        <f t="shared" si="18"/>
        <v>0</v>
      </c>
      <c r="H429" s="861">
        <f t="shared" si="19"/>
        <v>0</v>
      </c>
      <c r="I429" s="465">
        <f t="shared" si="20"/>
        <v>0</v>
      </c>
      <c r="J429" s="453"/>
      <c r="K429" s="567"/>
      <c r="L429" s="467"/>
      <c r="M429" s="567"/>
      <c r="N429" s="467"/>
      <c r="O429" s="467"/>
      <c r="P429" s="4"/>
    </row>
    <row r="430" spans="3:16">
      <c r="C430" s="412" t="s">
        <v>288</v>
      </c>
      <c r="D430" s="832"/>
      <c r="E430" s="832">
        <f>SUM(E370:E429)</f>
        <v>2419909.9800000004</v>
      </c>
      <c r="F430" s="832"/>
      <c r="G430" s="832">
        <f>SUM(G370:G429)</f>
        <v>7971369.5791492974</v>
      </c>
      <c r="H430" s="832">
        <f>SUM(H370:H429)</f>
        <v>7971369.5791492974</v>
      </c>
      <c r="I430" s="832">
        <f>SUM(I370:I429)</f>
        <v>0</v>
      </c>
      <c r="J430" s="832"/>
      <c r="K430" s="832"/>
      <c r="L430" s="832"/>
      <c r="M430" s="832"/>
      <c r="N430" s="832"/>
      <c r="O430" s="4"/>
      <c r="P430" s="4"/>
    </row>
    <row r="431" spans="3:16">
      <c r="D431" s="67"/>
      <c r="E431" s="4"/>
      <c r="F431" s="4"/>
      <c r="G431" s="4"/>
      <c r="H431" s="831"/>
      <c r="I431" s="831"/>
      <c r="J431" s="832"/>
      <c r="K431" s="831"/>
      <c r="L431" s="831"/>
      <c r="M431" s="831"/>
      <c r="N431" s="831"/>
      <c r="O431" s="4"/>
      <c r="P431" s="4"/>
    </row>
    <row r="432" spans="3:16">
      <c r="C432" s="4" t="s">
        <v>601</v>
      </c>
      <c r="D432" s="67"/>
      <c r="E432" s="4"/>
      <c r="F432" s="4"/>
      <c r="G432" s="4"/>
      <c r="H432" s="831"/>
      <c r="I432" s="831"/>
      <c r="J432" s="832"/>
      <c r="K432" s="831"/>
      <c r="L432" s="831"/>
      <c r="M432" s="831"/>
      <c r="N432" s="831"/>
      <c r="O432" s="4"/>
      <c r="P432" s="4"/>
    </row>
    <row r="433" spans="1:16">
      <c r="D433" s="67"/>
      <c r="E433" s="4"/>
      <c r="F433" s="4"/>
      <c r="G433" s="4"/>
      <c r="H433" s="831"/>
      <c r="I433" s="831"/>
      <c r="J433" s="832"/>
      <c r="K433" s="831"/>
      <c r="L433" s="831"/>
      <c r="M433" s="831"/>
      <c r="N433" s="831"/>
      <c r="O433" s="4"/>
      <c r="P433" s="4"/>
    </row>
    <row r="434" spans="1:16">
      <c r="C434" s="4" t="s">
        <v>602</v>
      </c>
      <c r="D434" s="412"/>
      <c r="E434" s="412"/>
      <c r="F434" s="412"/>
      <c r="G434" s="832"/>
      <c r="H434" s="832"/>
      <c r="I434" s="414"/>
      <c r="J434" s="414"/>
      <c r="K434" s="414"/>
      <c r="L434" s="414"/>
      <c r="M434" s="414"/>
      <c r="N434" s="414"/>
      <c r="O434" s="4"/>
      <c r="P434" s="4"/>
    </row>
    <row r="435" spans="1:16">
      <c r="C435" s="4" t="s">
        <v>476</v>
      </c>
      <c r="D435" s="412"/>
      <c r="E435" s="412"/>
      <c r="F435" s="412"/>
      <c r="G435" s="832"/>
      <c r="H435" s="832"/>
      <c r="I435" s="414"/>
      <c r="J435" s="414"/>
      <c r="K435" s="414"/>
      <c r="L435" s="414"/>
      <c r="M435" s="414"/>
      <c r="N435" s="414"/>
      <c r="O435" s="4"/>
      <c r="P435" s="4"/>
    </row>
    <row r="436" spans="1:16">
      <c r="C436" s="4" t="s">
        <v>289</v>
      </c>
      <c r="D436" s="412"/>
      <c r="E436" s="412"/>
      <c r="F436" s="412"/>
      <c r="G436" s="832"/>
      <c r="H436" s="832"/>
      <c r="I436" s="414"/>
      <c r="J436" s="414"/>
      <c r="K436" s="414"/>
      <c r="L436" s="414"/>
      <c r="M436" s="414"/>
      <c r="N436" s="414"/>
      <c r="O436" s="4"/>
      <c r="P436" s="4"/>
    </row>
    <row r="437" spans="1:16">
      <c r="C437" s="413"/>
      <c r="D437" s="412"/>
      <c r="E437" s="412"/>
      <c r="F437" s="412"/>
      <c r="G437" s="832"/>
      <c r="H437" s="832"/>
      <c r="I437" s="414"/>
      <c r="J437" s="414"/>
      <c r="K437" s="414"/>
      <c r="L437" s="414"/>
      <c r="M437" s="414"/>
      <c r="N437" s="414"/>
      <c r="O437" s="4"/>
      <c r="P437" s="4"/>
    </row>
    <row r="438" spans="1:16">
      <c r="C438" s="1279" t="s">
        <v>460</v>
      </c>
      <c r="D438" s="1279"/>
      <c r="E438" s="1279"/>
      <c r="F438" s="1279"/>
      <c r="G438" s="1279"/>
      <c r="H438" s="1279"/>
      <c r="I438" s="1279"/>
      <c r="J438" s="1279"/>
      <c r="K438" s="1279"/>
      <c r="L438" s="1279"/>
      <c r="M438" s="1279"/>
      <c r="N438" s="1279"/>
      <c r="O438" s="1279"/>
      <c r="P438" s="4"/>
    </row>
    <row r="439" spans="1:16">
      <c r="C439" s="1279"/>
      <c r="D439" s="1279"/>
      <c r="E439" s="1279"/>
      <c r="F439" s="1279"/>
      <c r="G439" s="1279"/>
      <c r="H439" s="1279"/>
      <c r="I439" s="1279"/>
      <c r="J439" s="1279"/>
      <c r="K439" s="1279"/>
      <c r="L439" s="1279"/>
      <c r="M439" s="1279"/>
      <c r="N439" s="1279"/>
      <c r="O439" s="1279"/>
      <c r="P439" s="4"/>
    </row>
    <row r="440" spans="1:16" ht="20.25">
      <c r="A440" s="352" t="s">
        <v>929</v>
      </c>
      <c r="B440" s="4"/>
      <c r="C440" s="4"/>
      <c r="D440" s="67"/>
      <c r="E440" s="4"/>
      <c r="F440" s="394"/>
      <c r="G440" s="4"/>
      <c r="H440" s="831"/>
      <c r="K440" s="353"/>
      <c r="L440" s="353"/>
      <c r="M440" s="353"/>
      <c r="N440" s="353" t="str">
        <f>"Page "&amp;SUM(P$6:P440)&amp;" of "</f>
        <v xml:space="preserve">Page 6 of </v>
      </c>
      <c r="O440" s="354">
        <f>COUNT(P$6:P$59606)</f>
        <v>18</v>
      </c>
      <c r="P440" s="4">
        <v>1</v>
      </c>
    </row>
    <row r="441" spans="1:16">
      <c r="B441" s="4"/>
      <c r="C441" s="4"/>
      <c r="D441" s="67"/>
      <c r="E441" s="4"/>
      <c r="F441" s="4"/>
      <c r="G441" s="4"/>
      <c r="H441" s="831"/>
      <c r="I441" s="4"/>
      <c r="J441" s="4"/>
      <c r="K441" s="4"/>
      <c r="L441" s="4"/>
      <c r="M441" s="4"/>
      <c r="N441" s="4"/>
      <c r="O441" s="4"/>
      <c r="P441" s="4"/>
    </row>
    <row r="442" spans="1:16" ht="18">
      <c r="B442" s="355" t="s">
        <v>174</v>
      </c>
      <c r="C442" s="415" t="s">
        <v>290</v>
      </c>
      <c r="D442" s="67"/>
      <c r="E442" s="4"/>
      <c r="F442" s="4"/>
      <c r="G442" s="4"/>
      <c r="H442" s="831"/>
      <c r="I442" s="831"/>
      <c r="J442" s="832"/>
      <c r="K442" s="831"/>
      <c r="L442" s="831"/>
      <c r="M442" s="831"/>
      <c r="N442" s="831"/>
      <c r="O442" s="4"/>
      <c r="P442" s="4"/>
    </row>
    <row r="443" spans="1:16" ht="18.75">
      <c r="B443" s="355"/>
      <c r="C443" s="11"/>
      <c r="D443" s="67"/>
      <c r="E443" s="4"/>
      <c r="F443" s="4"/>
      <c r="G443" s="4"/>
      <c r="H443" s="831"/>
      <c r="I443" s="831"/>
      <c r="J443" s="832"/>
      <c r="K443" s="831"/>
      <c r="L443" s="831"/>
      <c r="M443" s="831"/>
      <c r="N443" s="831"/>
      <c r="O443" s="4"/>
      <c r="P443" s="4"/>
    </row>
    <row r="444" spans="1:16" ht="18.75">
      <c r="B444" s="355"/>
      <c r="C444" s="11" t="s">
        <v>291</v>
      </c>
      <c r="D444" s="67"/>
      <c r="E444" s="4"/>
      <c r="F444" s="4"/>
      <c r="G444" s="4"/>
      <c r="H444" s="831"/>
      <c r="I444" s="831"/>
      <c r="J444" s="832"/>
      <c r="K444" s="831"/>
      <c r="L444" s="831"/>
      <c r="M444" s="831"/>
      <c r="N444" s="831"/>
      <c r="O444" s="4"/>
      <c r="P444" s="4"/>
    </row>
    <row r="445" spans="1:16" ht="15.75" thickBot="1">
      <c r="C445" s="203"/>
      <c r="D445" s="67"/>
      <c r="E445" s="4"/>
      <c r="F445" s="4"/>
      <c r="G445" s="4"/>
      <c r="H445" s="831"/>
      <c r="I445" s="831"/>
      <c r="J445" s="832"/>
      <c r="K445" s="831"/>
      <c r="L445" s="831"/>
      <c r="M445" s="831"/>
      <c r="N445" s="831"/>
      <c r="O445" s="4"/>
      <c r="P445" s="4"/>
    </row>
    <row r="446" spans="1:16" ht="15.75">
      <c r="C446" s="356" t="s">
        <v>292</v>
      </c>
      <c r="D446" s="67"/>
      <c r="E446" s="4"/>
      <c r="F446" s="4"/>
      <c r="G446" s="833"/>
      <c r="H446" s="4" t="s">
        <v>271</v>
      </c>
      <c r="I446" s="4"/>
      <c r="J446" s="4"/>
      <c r="K446" s="416" t="s">
        <v>296</v>
      </c>
      <c r="L446" s="417"/>
      <c r="M446" s="418"/>
      <c r="N446" s="834">
        <f>VLOOKUP(I452,C459:O518,5)</f>
        <v>1603534.5607511208</v>
      </c>
      <c r="O446" s="4"/>
      <c r="P446" s="4"/>
    </row>
    <row r="447" spans="1:16" ht="15.75">
      <c r="C447" s="356"/>
      <c r="D447" s="67"/>
      <c r="E447" s="4"/>
      <c r="F447" s="4"/>
      <c r="G447" s="4"/>
      <c r="H447" s="835"/>
      <c r="I447" s="835"/>
      <c r="J447" s="836"/>
      <c r="K447" s="421" t="s">
        <v>297</v>
      </c>
      <c r="L447" s="837"/>
      <c r="M447" s="4"/>
      <c r="N447" s="838">
        <f>VLOOKUP(I452,C459:O518,6)</f>
        <v>1603534.5607511208</v>
      </c>
      <c r="O447" s="4"/>
      <c r="P447" s="4"/>
    </row>
    <row r="448" spans="1:16" ht="13.5" thickBot="1">
      <c r="C448" s="422" t="s">
        <v>293</v>
      </c>
      <c r="D448" s="1277" t="s">
        <v>935</v>
      </c>
      <c r="E448" s="1277"/>
      <c r="F448" s="1277"/>
      <c r="G448" s="1277"/>
      <c r="H448" s="1277"/>
      <c r="I448" s="831"/>
      <c r="J448" s="832"/>
      <c r="K448" s="839" t="s">
        <v>450</v>
      </c>
      <c r="L448" s="840"/>
      <c r="M448" s="840"/>
      <c r="N448" s="841">
        <f>+N447-N446</f>
        <v>0</v>
      </c>
      <c r="O448" s="4"/>
      <c r="P448" s="4"/>
    </row>
    <row r="449" spans="1:16">
      <c r="C449" s="424"/>
      <c r="D449" s="425"/>
      <c r="E449" s="412"/>
      <c r="F449" s="412"/>
      <c r="G449" s="426"/>
      <c r="H449" s="831"/>
      <c r="I449" s="831"/>
      <c r="J449" s="832"/>
      <c r="K449" s="831"/>
      <c r="L449" s="831"/>
      <c r="M449" s="831"/>
      <c r="N449" s="831"/>
      <c r="O449" s="4"/>
      <c r="P449" s="4"/>
    </row>
    <row r="450" spans="1:16" ht="13.5" thickBot="1">
      <c r="C450" s="424"/>
      <c r="D450" s="4"/>
      <c r="E450" s="426"/>
      <c r="F450" s="426"/>
      <c r="G450" s="426"/>
      <c r="H450" s="426"/>
      <c r="I450" s="426"/>
      <c r="J450" s="426"/>
      <c r="K450" s="426"/>
      <c r="L450" s="426"/>
      <c r="M450" s="426"/>
      <c r="N450" s="426"/>
      <c r="O450" s="4"/>
      <c r="P450" s="4"/>
    </row>
    <row r="451" spans="1:16" ht="13.5" thickBot="1">
      <c r="C451" s="427" t="s">
        <v>294</v>
      </c>
      <c r="D451" s="428"/>
      <c r="E451" s="428"/>
      <c r="F451" s="428"/>
      <c r="G451" s="428"/>
      <c r="H451" s="428"/>
      <c r="I451" s="429"/>
      <c r="K451" s="4"/>
      <c r="L451" s="4"/>
      <c r="M451" s="4"/>
      <c r="N451" s="4"/>
      <c r="O451" s="4"/>
      <c r="P451" s="4"/>
    </row>
    <row r="452" spans="1:16" ht="15">
      <c r="C452" s="430" t="s">
        <v>272</v>
      </c>
      <c r="D452" s="842">
        <v>15164190.770000001</v>
      </c>
      <c r="E452" s="4" t="s">
        <v>273</v>
      </c>
      <c r="G452" s="67"/>
      <c r="H452" s="67"/>
      <c r="I452" s="431">
        <f>$L$26</f>
        <v>2026</v>
      </c>
      <c r="J452" s="114"/>
      <c r="K452" s="1278" t="s">
        <v>459</v>
      </c>
      <c r="L452" s="1278"/>
      <c r="M452" s="1278"/>
      <c r="N452" s="1278"/>
      <c r="O452" s="1278"/>
      <c r="P452" s="4"/>
    </row>
    <row r="453" spans="1:16">
      <c r="C453" s="430" t="s">
        <v>275</v>
      </c>
      <c r="D453" s="561">
        <v>2015</v>
      </c>
      <c r="E453" s="430" t="s">
        <v>276</v>
      </c>
      <c r="F453" s="67"/>
      <c r="I453" s="564">
        <f>IF(G446="",0,$F$15)</f>
        <v>0</v>
      </c>
      <c r="J453" s="432"/>
      <c r="K453" s="832" t="s">
        <v>459</v>
      </c>
      <c r="P453" s="4"/>
    </row>
    <row r="454" spans="1:16">
      <c r="C454" s="430" t="s">
        <v>277</v>
      </c>
      <c r="D454" s="843">
        <v>5</v>
      </c>
      <c r="E454" s="430" t="s">
        <v>278</v>
      </c>
      <c r="F454" s="67"/>
      <c r="I454" s="433">
        <f>$G$70</f>
        <v>0.1119061905251431</v>
      </c>
      <c r="J454" s="394"/>
      <c r="K454" t="str">
        <f>"          INPUT PROJECTED ARR (WITH &amp; WITHOUT INCENTIVES) FROM EACH PRIOR YEAR"</f>
        <v xml:space="preserve">          INPUT PROJECTED ARR (WITH &amp; WITHOUT INCENTIVES) FROM EACH PRIOR YEAR</v>
      </c>
      <c r="P454" s="4"/>
    </row>
    <row r="455" spans="1:16">
      <c r="C455" s="430" t="s">
        <v>279</v>
      </c>
      <c r="D455" s="434">
        <f>G$79</f>
        <v>39</v>
      </c>
      <c r="E455" s="430" t="s">
        <v>280</v>
      </c>
      <c r="F455" s="67"/>
      <c r="I455" s="433">
        <f>IF(G446="",I454,$G$67)</f>
        <v>0.1119061905251431</v>
      </c>
      <c r="J455" s="394"/>
      <c r="K455" t="s">
        <v>357</v>
      </c>
      <c r="P455" s="4"/>
    </row>
    <row r="456" spans="1:16" ht="13.5" thickBot="1">
      <c r="C456" s="430" t="s">
        <v>281</v>
      </c>
      <c r="D456" s="563" t="s">
        <v>931</v>
      </c>
      <c r="E456" s="435" t="s">
        <v>282</v>
      </c>
      <c r="F456" s="436"/>
      <c r="G456" s="437"/>
      <c r="H456" s="437"/>
      <c r="I456" s="841">
        <f>IF(D452=0,0,D452/D455)</f>
        <v>388825.40435897437</v>
      </c>
      <c r="J456" s="832"/>
      <c r="K456" s="832" t="s">
        <v>363</v>
      </c>
      <c r="L456" s="832"/>
      <c r="M456" s="832"/>
      <c r="N456" s="832"/>
      <c r="O456" s="4"/>
      <c r="P456" s="4"/>
    </row>
    <row r="457" spans="1:16" ht="51">
      <c r="A457" s="322"/>
      <c r="B457" s="322"/>
      <c r="C457" s="438" t="s">
        <v>272</v>
      </c>
      <c r="D457" s="844" t="s">
        <v>283</v>
      </c>
      <c r="E457" s="845" t="s">
        <v>284</v>
      </c>
      <c r="F457" s="844" t="s">
        <v>285</v>
      </c>
      <c r="G457" s="845" t="s">
        <v>356</v>
      </c>
      <c r="H457" s="846" t="s">
        <v>356</v>
      </c>
      <c r="I457" s="438" t="s">
        <v>295</v>
      </c>
      <c r="J457" s="442"/>
      <c r="K457" s="845" t="s">
        <v>365</v>
      </c>
      <c r="L457" s="847"/>
      <c r="M457" s="845" t="s">
        <v>365</v>
      </c>
      <c r="N457" s="847"/>
      <c r="O457" s="847"/>
      <c r="P457" s="4"/>
    </row>
    <row r="458" spans="1:16" ht="13.5" thickBot="1">
      <c r="C458" s="444" t="s">
        <v>177</v>
      </c>
      <c r="D458" s="445" t="s">
        <v>178</v>
      </c>
      <c r="E458" s="444" t="s">
        <v>37</v>
      </c>
      <c r="F458" s="445" t="s">
        <v>178</v>
      </c>
      <c r="G458" s="848" t="s">
        <v>298</v>
      </c>
      <c r="H458" s="849" t="s">
        <v>300</v>
      </c>
      <c r="I458" s="444" t="s">
        <v>389</v>
      </c>
      <c r="J458" s="448"/>
      <c r="K458" s="867" t="s">
        <v>287</v>
      </c>
      <c r="L458" s="850"/>
      <c r="M458" s="867" t="s">
        <v>300</v>
      </c>
      <c r="N458" s="850"/>
      <c r="O458" s="850"/>
      <c r="P458" s="4"/>
    </row>
    <row r="459" spans="1:16">
      <c r="C459" s="449">
        <f>IF(D453= "","-",D453)</f>
        <v>2015</v>
      </c>
      <c r="D459" s="412">
        <f>+D452</f>
        <v>15164190.770000001</v>
      </c>
      <c r="E459" s="851">
        <f>+I456/12*(12-D454)</f>
        <v>226814.81920940173</v>
      </c>
      <c r="F459" s="412">
        <f t="shared" ref="F459:F518" si="29">+D459-E459</f>
        <v>14937375.950790599</v>
      </c>
      <c r="G459" s="852">
        <f>+$I$454*((D459+F459)/2)+E459</f>
        <v>1911090.6494904517</v>
      </c>
      <c r="H459" s="853">
        <f>+$I$455*((D459+F459)/2)+E459</f>
        <v>1911090.6494904517</v>
      </c>
      <c r="I459" s="453">
        <f t="shared" ref="I459:I518" si="30">+H459-G459</f>
        <v>0</v>
      </c>
      <c r="J459" s="868"/>
      <c r="K459" s="869">
        <v>2647738</v>
      </c>
      <c r="L459" s="870"/>
      <c r="M459" s="869">
        <v>2647738</v>
      </c>
      <c r="N459" s="871"/>
      <c r="O459" s="455"/>
      <c r="P459" s="4"/>
    </row>
    <row r="460" spans="1:16">
      <c r="C460" s="449">
        <f>IF(D453="","-",+C459+1)</f>
        <v>2016</v>
      </c>
      <c r="D460" s="412">
        <f t="shared" ref="D460:D518" si="31">F459</f>
        <v>14937375.950790599</v>
      </c>
      <c r="E460" s="456">
        <f>IF(D460&gt;$I$456,$I$456,D460)</f>
        <v>388825.40435897437</v>
      </c>
      <c r="F460" s="412">
        <f t="shared" si="29"/>
        <v>14548550.546431625</v>
      </c>
      <c r="G460" s="851">
        <f t="shared" ref="G460:G518" si="32">+$I$454*((D460+F460)/2)+E460</f>
        <v>2038654.2585632321</v>
      </c>
      <c r="H460" s="854">
        <f t="shared" ref="H460:H518" si="33">+$I$455*((D460+F460)/2)+E460</f>
        <v>2038654.2585632321</v>
      </c>
      <c r="I460" s="453">
        <f t="shared" si="30"/>
        <v>0</v>
      </c>
      <c r="J460" s="868"/>
      <c r="K460" s="869">
        <v>2089493</v>
      </c>
      <c r="L460" s="872"/>
      <c r="M460" s="869">
        <v>2089493</v>
      </c>
      <c r="N460" s="873"/>
      <c r="O460" s="459"/>
      <c r="P460" s="4"/>
    </row>
    <row r="461" spans="1:16">
      <c r="C461" s="449">
        <f>IF(D453="","-",+C460+1)</f>
        <v>2017</v>
      </c>
      <c r="D461" s="412">
        <f t="shared" si="31"/>
        <v>14548550.546431625</v>
      </c>
      <c r="E461" s="456">
        <f t="shared" ref="E461:E518" si="34">IF(D461&gt;$I$456,$I$456,D461)</f>
        <v>388825.40435897437</v>
      </c>
      <c r="F461" s="412">
        <f t="shared" si="29"/>
        <v>14159725.142072652</v>
      </c>
      <c r="G461" s="851">
        <f t="shared" si="32"/>
        <v>1995142.2887820213</v>
      </c>
      <c r="H461" s="854">
        <f t="shared" si="33"/>
        <v>1995142.2887820213</v>
      </c>
      <c r="I461" s="453">
        <f t="shared" si="30"/>
        <v>0</v>
      </c>
      <c r="J461" s="453"/>
      <c r="K461" s="566">
        <v>2647738</v>
      </c>
      <c r="L461" s="864"/>
      <c r="M461" s="566">
        <v>2647738</v>
      </c>
      <c r="N461" s="459"/>
      <c r="O461" s="459"/>
      <c r="P461" s="4"/>
    </row>
    <row r="462" spans="1:16">
      <c r="C462" s="878">
        <f>IF(D453="","-",+C461+1)</f>
        <v>2018</v>
      </c>
      <c r="D462" s="856">
        <f t="shared" si="31"/>
        <v>14159725.142072652</v>
      </c>
      <c r="E462" s="857">
        <f t="shared" si="34"/>
        <v>388825.40435897437</v>
      </c>
      <c r="F462" s="856">
        <f t="shared" si="29"/>
        <v>13770899.737713678</v>
      </c>
      <c r="G462" s="858">
        <f t="shared" si="32"/>
        <v>1951630.3190008099</v>
      </c>
      <c r="H462" s="859">
        <f t="shared" si="33"/>
        <v>1951630.3190008099</v>
      </c>
      <c r="I462" s="865">
        <f t="shared" si="30"/>
        <v>0</v>
      </c>
      <c r="J462" s="453"/>
      <c r="K462" s="566">
        <v>1845050</v>
      </c>
      <c r="L462" s="459"/>
      <c r="M462" s="566">
        <v>1845050</v>
      </c>
      <c r="N462" s="459"/>
      <c r="O462" s="459"/>
      <c r="P462" s="4"/>
    </row>
    <row r="463" spans="1:16">
      <c r="C463" s="449">
        <f>IF(D454="","-",+C462+1)</f>
        <v>2019</v>
      </c>
      <c r="D463" s="412">
        <f t="shared" si="31"/>
        <v>13770899.737713678</v>
      </c>
      <c r="E463" s="456">
        <f t="shared" si="34"/>
        <v>388825.40435897437</v>
      </c>
      <c r="F463" s="412">
        <f t="shared" si="29"/>
        <v>13382074.333354704</v>
      </c>
      <c r="G463" s="851">
        <f t="shared" si="32"/>
        <v>1908118.3492195988</v>
      </c>
      <c r="H463" s="854">
        <f t="shared" si="33"/>
        <v>1908118.3492195988</v>
      </c>
      <c r="I463" s="453">
        <f t="shared" si="30"/>
        <v>0</v>
      </c>
      <c r="J463" s="453"/>
      <c r="K463" s="566">
        <v>1803579</v>
      </c>
      <c r="L463" s="459"/>
      <c r="M463" s="566">
        <v>1803579</v>
      </c>
      <c r="N463" s="459"/>
      <c r="O463" s="459"/>
      <c r="P463" s="4"/>
    </row>
    <row r="464" spans="1:16">
      <c r="C464" s="449">
        <f>IF(D454="","-",+C463+1)</f>
        <v>2020</v>
      </c>
      <c r="D464" s="412">
        <f t="shared" si="31"/>
        <v>13382074.333354704</v>
      </c>
      <c r="E464" s="456">
        <f t="shared" si="34"/>
        <v>388825.40435897437</v>
      </c>
      <c r="F464" s="412">
        <f t="shared" si="29"/>
        <v>12993248.92899573</v>
      </c>
      <c r="G464" s="851">
        <f t="shared" si="32"/>
        <v>1864606.3794383877</v>
      </c>
      <c r="H464" s="854">
        <f t="shared" si="33"/>
        <v>1864606.3794383877</v>
      </c>
      <c r="I464" s="453">
        <f t="shared" si="30"/>
        <v>0</v>
      </c>
      <c r="J464" s="453"/>
      <c r="K464" s="566">
        <v>1715890.5772976056</v>
      </c>
      <c r="L464" s="459"/>
      <c r="M464" s="566">
        <v>1715890.5772976056</v>
      </c>
      <c r="N464" s="459"/>
      <c r="O464" s="459"/>
      <c r="P464" s="4"/>
    </row>
    <row r="465" spans="3:16">
      <c r="C465" s="449">
        <f>IF(D453="","-",+C464+1)</f>
        <v>2021</v>
      </c>
      <c r="D465" s="412">
        <f t="shared" si="31"/>
        <v>12993248.92899573</v>
      </c>
      <c r="E465" s="456">
        <f t="shared" si="34"/>
        <v>388825.40435897437</v>
      </c>
      <c r="F465" s="412">
        <f t="shared" si="29"/>
        <v>12604423.524636757</v>
      </c>
      <c r="G465" s="851">
        <f t="shared" si="32"/>
        <v>1821094.4096571766</v>
      </c>
      <c r="H465" s="854">
        <f t="shared" si="33"/>
        <v>1821094.4096571766</v>
      </c>
      <c r="I465" s="453">
        <f t="shared" si="30"/>
        <v>0</v>
      </c>
      <c r="J465" s="453"/>
      <c r="K465" s="566">
        <v>1689921.8144229958</v>
      </c>
      <c r="L465" s="459"/>
      <c r="M465" s="566">
        <v>1689921.8144229958</v>
      </c>
      <c r="N465" s="459"/>
      <c r="O465" s="459"/>
      <c r="P465" s="4"/>
    </row>
    <row r="466" spans="3:16">
      <c r="C466" s="449">
        <f>IF(D457="","-",+C465+1)</f>
        <v>2022</v>
      </c>
      <c r="D466" s="412">
        <f t="shared" si="31"/>
        <v>12604423.524636757</v>
      </c>
      <c r="E466" s="456">
        <f t="shared" si="34"/>
        <v>388825.40435897437</v>
      </c>
      <c r="F466" s="412">
        <f t="shared" si="29"/>
        <v>12215598.120277783</v>
      </c>
      <c r="G466" s="851">
        <f t="shared" si="32"/>
        <v>1777582.4398759652</v>
      </c>
      <c r="H466" s="854">
        <f t="shared" si="33"/>
        <v>1777582.4398759652</v>
      </c>
      <c r="I466" s="453">
        <f t="shared" si="30"/>
        <v>0</v>
      </c>
      <c r="J466" s="453"/>
      <c r="K466" s="566">
        <v>1668337.4641950356</v>
      </c>
      <c r="L466" s="459"/>
      <c r="M466" s="566">
        <v>1668337.4641950356</v>
      </c>
      <c r="N466" s="459"/>
      <c r="O466" s="459"/>
      <c r="P466" s="4"/>
    </row>
    <row r="467" spans="3:16">
      <c r="C467" s="449">
        <f>IF(D457="","-",+C466+1)</f>
        <v>2023</v>
      </c>
      <c r="D467" s="412">
        <f t="shared" si="31"/>
        <v>12215598.120277783</v>
      </c>
      <c r="E467" s="456">
        <f t="shared" si="34"/>
        <v>388825.40435897437</v>
      </c>
      <c r="F467" s="412">
        <f t="shared" si="29"/>
        <v>11826772.715918809</v>
      </c>
      <c r="G467" s="851">
        <f t="shared" si="32"/>
        <v>1734070.4700947544</v>
      </c>
      <c r="H467" s="854">
        <f t="shared" si="33"/>
        <v>1734070.4700947544</v>
      </c>
      <c r="I467" s="453">
        <f t="shared" si="30"/>
        <v>0</v>
      </c>
      <c r="J467" s="453"/>
      <c r="K467" s="566">
        <v>1719761.0780092617</v>
      </c>
      <c r="L467" s="459"/>
      <c r="M467" s="566">
        <v>1719761.0780092617</v>
      </c>
      <c r="N467" s="459"/>
      <c r="O467" s="459"/>
      <c r="P467" s="4"/>
    </row>
    <row r="468" spans="3:16">
      <c r="C468" s="449">
        <f>IF(D453="","-",+C467+1)</f>
        <v>2024</v>
      </c>
      <c r="D468" s="412">
        <f t="shared" si="31"/>
        <v>11826772.715918809</v>
      </c>
      <c r="E468" s="456">
        <f t="shared" si="34"/>
        <v>388825.40435897437</v>
      </c>
      <c r="F468" s="412">
        <f t="shared" si="29"/>
        <v>11437947.311559835</v>
      </c>
      <c r="G468" s="851">
        <f t="shared" si="32"/>
        <v>1690558.500313543</v>
      </c>
      <c r="H468" s="854">
        <f t="shared" si="33"/>
        <v>1690558.500313543</v>
      </c>
      <c r="I468" s="453">
        <f t="shared" si="30"/>
        <v>0</v>
      </c>
      <c r="J468" s="453"/>
      <c r="K468" s="566">
        <v>1666854.8754347814</v>
      </c>
      <c r="L468" s="459"/>
      <c r="M468" s="566">
        <v>1666854.8754347814</v>
      </c>
      <c r="N468" s="459"/>
      <c r="O468" s="459"/>
      <c r="P468" s="4"/>
    </row>
    <row r="469" spans="3:16">
      <c r="C469" s="449">
        <f>IF(D453="","-",+C468+1)</f>
        <v>2025</v>
      </c>
      <c r="D469" s="412">
        <f t="shared" si="31"/>
        <v>11437947.311559835</v>
      </c>
      <c r="E469" s="456">
        <f t="shared" si="34"/>
        <v>388825.40435897437</v>
      </c>
      <c r="F469" s="412">
        <f t="shared" si="29"/>
        <v>11049121.907200862</v>
      </c>
      <c r="G469" s="851">
        <f t="shared" si="32"/>
        <v>1647046.5305323321</v>
      </c>
      <c r="H469" s="854">
        <f t="shared" si="33"/>
        <v>1647046.5305323321</v>
      </c>
      <c r="I469" s="453">
        <f t="shared" si="30"/>
        <v>0</v>
      </c>
      <c r="J469" s="453"/>
      <c r="K469" s="566">
        <v>1632123.8775575701</v>
      </c>
      <c r="L469" s="459"/>
      <c r="M469" s="566">
        <v>1632123.8775575701</v>
      </c>
      <c r="N469" s="459"/>
      <c r="O469" s="459"/>
      <c r="P469" s="4"/>
    </row>
    <row r="470" spans="3:16">
      <c r="C470" s="855">
        <f>IF(D453="","-",+C469+1)</f>
        <v>2026</v>
      </c>
      <c r="D470" s="412">
        <f t="shared" si="31"/>
        <v>11049121.907200862</v>
      </c>
      <c r="E470" s="456">
        <f t="shared" si="34"/>
        <v>388825.40435897437</v>
      </c>
      <c r="F470" s="412">
        <f t="shared" si="29"/>
        <v>10660296.502841888</v>
      </c>
      <c r="G470" s="851">
        <f t="shared" si="32"/>
        <v>1603534.5607511208</v>
      </c>
      <c r="H470" s="854">
        <f t="shared" si="33"/>
        <v>1603534.5607511208</v>
      </c>
      <c r="I470" s="453">
        <f t="shared" si="30"/>
        <v>0</v>
      </c>
      <c r="J470" s="453"/>
      <c r="K470" s="566"/>
      <c r="L470" s="459"/>
      <c r="M470" s="566"/>
      <c r="N470" s="459"/>
      <c r="O470" s="459"/>
      <c r="P470" s="4"/>
    </row>
    <row r="471" spans="3:16">
      <c r="C471" s="449">
        <f>IF(D453="","-",+C470+1)</f>
        <v>2027</v>
      </c>
      <c r="D471" s="412">
        <f t="shared" si="31"/>
        <v>10660296.502841888</v>
      </c>
      <c r="E471" s="456">
        <f t="shared" si="34"/>
        <v>388825.40435897437</v>
      </c>
      <c r="F471" s="412">
        <f t="shared" si="29"/>
        <v>10271471.098482914</v>
      </c>
      <c r="G471" s="851">
        <f t="shared" si="32"/>
        <v>1560022.5909699099</v>
      </c>
      <c r="H471" s="854">
        <f t="shared" si="33"/>
        <v>1560022.5909699099</v>
      </c>
      <c r="I471" s="453">
        <f t="shared" si="30"/>
        <v>0</v>
      </c>
      <c r="J471" s="453"/>
      <c r="K471" s="566"/>
      <c r="L471" s="459"/>
      <c r="M471" s="566"/>
      <c r="N471" s="460"/>
      <c r="O471" s="459"/>
      <c r="P471" s="4"/>
    </row>
    <row r="472" spans="3:16">
      <c r="C472" s="449">
        <f>IF(D453="","-",+C471+1)</f>
        <v>2028</v>
      </c>
      <c r="D472" s="412">
        <f t="shared" si="31"/>
        <v>10271471.098482914</v>
      </c>
      <c r="E472" s="456">
        <f t="shared" si="34"/>
        <v>388825.40435897437</v>
      </c>
      <c r="F472" s="412">
        <f t="shared" si="29"/>
        <v>9882645.6941239405</v>
      </c>
      <c r="G472" s="851">
        <f t="shared" si="32"/>
        <v>1516510.6211886986</v>
      </c>
      <c r="H472" s="854">
        <f t="shared" si="33"/>
        <v>1516510.6211886986</v>
      </c>
      <c r="I472" s="453">
        <f t="shared" si="30"/>
        <v>0</v>
      </c>
      <c r="J472" s="453"/>
      <c r="K472" s="566"/>
      <c r="L472" s="459"/>
      <c r="M472" s="566"/>
      <c r="N472" s="459"/>
      <c r="O472" s="459"/>
      <c r="P472" s="4"/>
    </row>
    <row r="473" spans="3:16">
      <c r="C473" s="449">
        <f>IF(D453="","-",+C472+1)</f>
        <v>2029</v>
      </c>
      <c r="D473" s="412">
        <f t="shared" si="31"/>
        <v>9882645.6941239405</v>
      </c>
      <c r="E473" s="456">
        <f t="shared" si="34"/>
        <v>388825.40435897437</v>
      </c>
      <c r="F473" s="412">
        <f t="shared" si="29"/>
        <v>9493820.2897649668</v>
      </c>
      <c r="G473" s="851">
        <f t="shared" si="32"/>
        <v>1472998.6514074877</v>
      </c>
      <c r="H473" s="854">
        <f t="shared" si="33"/>
        <v>1472998.6514074877</v>
      </c>
      <c r="I473" s="453">
        <f t="shared" si="30"/>
        <v>0</v>
      </c>
      <c r="J473" s="453"/>
      <c r="K473" s="566"/>
      <c r="L473" s="459"/>
      <c r="M473" s="566"/>
      <c r="N473" s="459"/>
      <c r="O473" s="459"/>
      <c r="P473" s="4"/>
    </row>
    <row r="474" spans="3:16">
      <c r="C474" s="449">
        <f>IF(D453="","-",+C473+1)</f>
        <v>2030</v>
      </c>
      <c r="D474" s="412">
        <f t="shared" si="31"/>
        <v>9493820.2897649668</v>
      </c>
      <c r="E474" s="456">
        <f t="shared" si="34"/>
        <v>388825.40435897437</v>
      </c>
      <c r="F474" s="412">
        <f t="shared" si="29"/>
        <v>9104994.8854059931</v>
      </c>
      <c r="G474" s="851">
        <f t="shared" si="32"/>
        <v>1429486.6816262763</v>
      </c>
      <c r="H474" s="854">
        <f t="shared" si="33"/>
        <v>1429486.6816262763</v>
      </c>
      <c r="I474" s="453">
        <f t="shared" si="30"/>
        <v>0</v>
      </c>
      <c r="J474" s="453"/>
      <c r="K474" s="566"/>
      <c r="L474" s="459"/>
      <c r="M474" s="566"/>
      <c r="N474" s="459"/>
      <c r="O474" s="459"/>
      <c r="P474" s="4"/>
    </row>
    <row r="475" spans="3:16">
      <c r="C475" s="449">
        <f>IF(D453="","-",+C474+1)</f>
        <v>2031</v>
      </c>
      <c r="D475" s="412">
        <f t="shared" si="31"/>
        <v>9104994.8854059931</v>
      </c>
      <c r="E475" s="456">
        <f t="shared" si="34"/>
        <v>388825.40435897437</v>
      </c>
      <c r="F475" s="412">
        <f t="shared" si="29"/>
        <v>8716169.4810470194</v>
      </c>
      <c r="G475" s="851">
        <f t="shared" si="32"/>
        <v>1385974.7118450655</v>
      </c>
      <c r="H475" s="854">
        <f t="shared" si="33"/>
        <v>1385974.7118450655</v>
      </c>
      <c r="I475" s="453">
        <f t="shared" si="30"/>
        <v>0</v>
      </c>
      <c r="J475" s="453"/>
      <c r="K475" s="566"/>
      <c r="L475" s="459"/>
      <c r="M475" s="566"/>
      <c r="N475" s="459"/>
      <c r="O475" s="459"/>
      <c r="P475" s="4"/>
    </row>
    <row r="476" spans="3:16">
      <c r="C476" s="449">
        <f>IF(D453="","-",+C475+1)</f>
        <v>2032</v>
      </c>
      <c r="D476" s="412">
        <f t="shared" si="31"/>
        <v>8716169.4810470194</v>
      </c>
      <c r="E476" s="456">
        <f t="shared" si="34"/>
        <v>388825.40435897437</v>
      </c>
      <c r="F476" s="412">
        <f t="shared" si="29"/>
        <v>8327344.0766880447</v>
      </c>
      <c r="G476" s="851">
        <f t="shared" si="32"/>
        <v>1342462.7420638541</v>
      </c>
      <c r="H476" s="854">
        <f t="shared" si="33"/>
        <v>1342462.7420638541</v>
      </c>
      <c r="I476" s="453">
        <f t="shared" si="30"/>
        <v>0</v>
      </c>
      <c r="J476" s="453"/>
      <c r="K476" s="566"/>
      <c r="L476" s="459"/>
      <c r="M476" s="566"/>
      <c r="N476" s="459"/>
      <c r="O476" s="459"/>
      <c r="P476" s="4"/>
    </row>
    <row r="477" spans="3:16">
      <c r="C477" s="449">
        <f>IF(D453="","-",+C476+1)</f>
        <v>2033</v>
      </c>
      <c r="D477" s="412">
        <f t="shared" si="31"/>
        <v>8327344.0766880447</v>
      </c>
      <c r="E477" s="456">
        <f t="shared" si="34"/>
        <v>388825.40435897437</v>
      </c>
      <c r="F477" s="412">
        <f t="shared" si="29"/>
        <v>7938518.67232907</v>
      </c>
      <c r="G477" s="851">
        <f t="shared" si="32"/>
        <v>1298950.772282643</v>
      </c>
      <c r="H477" s="854">
        <f t="shared" si="33"/>
        <v>1298950.772282643</v>
      </c>
      <c r="I477" s="453">
        <f t="shared" si="30"/>
        <v>0</v>
      </c>
      <c r="J477" s="453"/>
      <c r="K477" s="566"/>
      <c r="L477" s="459"/>
      <c r="M477" s="566"/>
      <c r="N477" s="459"/>
      <c r="O477" s="459"/>
      <c r="P477" s="4"/>
    </row>
    <row r="478" spans="3:16">
      <c r="C478" s="449">
        <f>IF(D453="","-",+C477+1)</f>
        <v>2034</v>
      </c>
      <c r="D478" s="412">
        <f t="shared" si="31"/>
        <v>7938518.67232907</v>
      </c>
      <c r="E478" s="456">
        <f t="shared" si="34"/>
        <v>388825.40435897437</v>
      </c>
      <c r="F478" s="412">
        <f t="shared" si="29"/>
        <v>7549693.2679700954</v>
      </c>
      <c r="G478" s="851">
        <f t="shared" si="32"/>
        <v>1255438.8025014317</v>
      </c>
      <c r="H478" s="854">
        <f t="shared" si="33"/>
        <v>1255438.8025014317</v>
      </c>
      <c r="I478" s="453">
        <f t="shared" si="30"/>
        <v>0</v>
      </c>
      <c r="J478" s="453"/>
      <c r="K478" s="566"/>
      <c r="L478" s="459"/>
      <c r="M478" s="566"/>
      <c r="N478" s="459"/>
      <c r="O478" s="459"/>
      <c r="P478" s="4"/>
    </row>
    <row r="479" spans="3:16">
      <c r="C479" s="449">
        <f>IF(D453="","-",+C478+1)</f>
        <v>2035</v>
      </c>
      <c r="D479" s="412">
        <f t="shared" si="31"/>
        <v>7549693.2679700954</v>
      </c>
      <c r="E479" s="456">
        <f t="shared" si="34"/>
        <v>388825.40435897437</v>
      </c>
      <c r="F479" s="412">
        <f t="shared" si="29"/>
        <v>7160867.8636111207</v>
      </c>
      <c r="G479" s="851">
        <f t="shared" si="32"/>
        <v>1211926.8327202206</v>
      </c>
      <c r="H479" s="854">
        <f t="shared" si="33"/>
        <v>1211926.8327202206</v>
      </c>
      <c r="I479" s="453">
        <f t="shared" si="30"/>
        <v>0</v>
      </c>
      <c r="J479" s="453"/>
      <c r="K479" s="566"/>
      <c r="L479" s="459"/>
      <c r="M479" s="566"/>
      <c r="N479" s="459"/>
      <c r="O479" s="459"/>
      <c r="P479" s="4"/>
    </row>
    <row r="480" spans="3:16">
      <c r="C480" s="449">
        <f>IF(D453="","-",+C479+1)</f>
        <v>2036</v>
      </c>
      <c r="D480" s="412">
        <f t="shared" si="31"/>
        <v>7160867.8636111207</v>
      </c>
      <c r="E480" s="456">
        <f t="shared" si="34"/>
        <v>388825.40435897437</v>
      </c>
      <c r="F480" s="412">
        <f t="shared" si="29"/>
        <v>6772042.4592521461</v>
      </c>
      <c r="G480" s="851">
        <f t="shared" si="32"/>
        <v>1168414.8629390092</v>
      </c>
      <c r="H480" s="854">
        <f t="shared" si="33"/>
        <v>1168414.8629390092</v>
      </c>
      <c r="I480" s="453">
        <f t="shared" si="30"/>
        <v>0</v>
      </c>
      <c r="J480" s="453"/>
      <c r="K480" s="566"/>
      <c r="L480" s="459"/>
      <c r="M480" s="566"/>
      <c r="N480" s="459"/>
      <c r="O480" s="459"/>
      <c r="P480" s="4"/>
    </row>
    <row r="481" spans="3:16">
      <c r="C481" s="449">
        <f>IF(D453="","-",+C480+1)</f>
        <v>2037</v>
      </c>
      <c r="D481" s="412">
        <f t="shared" si="31"/>
        <v>6772042.4592521461</v>
      </c>
      <c r="E481" s="456">
        <f t="shared" si="34"/>
        <v>388825.40435897437</v>
      </c>
      <c r="F481" s="412">
        <f t="shared" si="29"/>
        <v>6383217.0548931714</v>
      </c>
      <c r="G481" s="851">
        <f t="shared" si="32"/>
        <v>1124902.8931577981</v>
      </c>
      <c r="H481" s="854">
        <f t="shared" si="33"/>
        <v>1124902.8931577981</v>
      </c>
      <c r="I481" s="453">
        <f t="shared" si="30"/>
        <v>0</v>
      </c>
      <c r="J481" s="453"/>
      <c r="K481" s="566"/>
      <c r="L481" s="459"/>
      <c r="M481" s="566"/>
      <c r="N481" s="459"/>
      <c r="O481" s="459"/>
      <c r="P481" s="4"/>
    </row>
    <row r="482" spans="3:16">
      <c r="C482" s="449">
        <f>IF(D453="","-",+C481+1)</f>
        <v>2038</v>
      </c>
      <c r="D482" s="412">
        <f t="shared" si="31"/>
        <v>6383217.0548931714</v>
      </c>
      <c r="E482" s="456">
        <f t="shared" si="34"/>
        <v>388825.40435897437</v>
      </c>
      <c r="F482" s="412">
        <f t="shared" si="29"/>
        <v>5994391.6505341968</v>
      </c>
      <c r="G482" s="851">
        <f t="shared" si="32"/>
        <v>1081390.9233765868</v>
      </c>
      <c r="H482" s="854">
        <f t="shared" si="33"/>
        <v>1081390.9233765868</v>
      </c>
      <c r="I482" s="453">
        <f t="shared" si="30"/>
        <v>0</v>
      </c>
      <c r="J482" s="453"/>
      <c r="K482" s="566"/>
      <c r="L482" s="459"/>
      <c r="M482" s="566"/>
      <c r="N482" s="459"/>
      <c r="O482" s="459"/>
      <c r="P482" s="4"/>
    </row>
    <row r="483" spans="3:16">
      <c r="C483" s="449">
        <f>IF(D453="","-",+C482+1)</f>
        <v>2039</v>
      </c>
      <c r="D483" s="412">
        <f t="shared" si="31"/>
        <v>5994391.6505341968</v>
      </c>
      <c r="E483" s="456">
        <f t="shared" si="34"/>
        <v>388825.40435897437</v>
      </c>
      <c r="F483" s="412">
        <f t="shared" si="29"/>
        <v>5605566.2461752221</v>
      </c>
      <c r="G483" s="851">
        <f t="shared" si="32"/>
        <v>1037878.9535953756</v>
      </c>
      <c r="H483" s="854">
        <f t="shared" si="33"/>
        <v>1037878.9535953756</v>
      </c>
      <c r="I483" s="453">
        <f t="shared" si="30"/>
        <v>0</v>
      </c>
      <c r="J483" s="453"/>
      <c r="K483" s="566"/>
      <c r="L483" s="459"/>
      <c r="M483" s="566"/>
      <c r="N483" s="459"/>
      <c r="O483" s="459"/>
      <c r="P483" s="4"/>
    </row>
    <row r="484" spans="3:16">
      <c r="C484" s="449">
        <f>IF(D453="","-",+C483+1)</f>
        <v>2040</v>
      </c>
      <c r="D484" s="412">
        <f t="shared" si="31"/>
        <v>5605566.2461752221</v>
      </c>
      <c r="E484" s="456">
        <f t="shared" si="34"/>
        <v>388825.40435897437</v>
      </c>
      <c r="F484" s="412">
        <f t="shared" si="29"/>
        <v>5216740.8418162474</v>
      </c>
      <c r="G484" s="851">
        <f t="shared" si="32"/>
        <v>994366.9838141643</v>
      </c>
      <c r="H484" s="854">
        <f t="shared" si="33"/>
        <v>994366.9838141643</v>
      </c>
      <c r="I484" s="453">
        <f t="shared" si="30"/>
        <v>0</v>
      </c>
      <c r="J484" s="453"/>
      <c r="K484" s="566"/>
      <c r="L484" s="459"/>
      <c r="M484" s="566"/>
      <c r="N484" s="459"/>
      <c r="O484" s="459"/>
      <c r="P484" s="4"/>
    </row>
    <row r="485" spans="3:16">
      <c r="C485" s="449">
        <f>IF(D453="","-",+C484+1)</f>
        <v>2041</v>
      </c>
      <c r="D485" s="412">
        <f t="shared" si="31"/>
        <v>5216740.8418162474</v>
      </c>
      <c r="E485" s="456">
        <f t="shared" si="34"/>
        <v>388825.40435897437</v>
      </c>
      <c r="F485" s="412">
        <f t="shared" si="29"/>
        <v>4827915.4374572728</v>
      </c>
      <c r="G485" s="851">
        <f t="shared" si="32"/>
        <v>950855.01403295319</v>
      </c>
      <c r="H485" s="854">
        <f t="shared" si="33"/>
        <v>950855.01403295319</v>
      </c>
      <c r="I485" s="453">
        <f t="shared" si="30"/>
        <v>0</v>
      </c>
      <c r="J485" s="453"/>
      <c r="K485" s="566"/>
      <c r="L485" s="459"/>
      <c r="M485" s="566"/>
      <c r="N485" s="459"/>
      <c r="O485" s="459"/>
      <c r="P485" s="4"/>
    </row>
    <row r="486" spans="3:16">
      <c r="C486" s="449">
        <f>IF(D453="","-",+C485+1)</f>
        <v>2042</v>
      </c>
      <c r="D486" s="412">
        <f t="shared" si="31"/>
        <v>4827915.4374572728</v>
      </c>
      <c r="E486" s="456">
        <f t="shared" si="34"/>
        <v>388825.40435897437</v>
      </c>
      <c r="F486" s="412">
        <f t="shared" si="29"/>
        <v>4439090.0330982981</v>
      </c>
      <c r="G486" s="851">
        <f t="shared" si="32"/>
        <v>907343.04425174184</v>
      </c>
      <c r="H486" s="854">
        <f t="shared" si="33"/>
        <v>907343.04425174184</v>
      </c>
      <c r="I486" s="453">
        <f t="shared" si="30"/>
        <v>0</v>
      </c>
      <c r="J486" s="453"/>
      <c r="K486" s="566"/>
      <c r="L486" s="459"/>
      <c r="M486" s="566"/>
      <c r="N486" s="459"/>
      <c r="O486" s="459"/>
      <c r="P486" s="4"/>
    </row>
    <row r="487" spans="3:16">
      <c r="C487" s="449">
        <f>IF(D453="","-",+C486+1)</f>
        <v>2043</v>
      </c>
      <c r="D487" s="412">
        <f t="shared" si="31"/>
        <v>4439090.0330982981</v>
      </c>
      <c r="E487" s="456">
        <f t="shared" si="34"/>
        <v>388825.40435897437</v>
      </c>
      <c r="F487" s="412">
        <f t="shared" si="29"/>
        <v>4050264.6287393239</v>
      </c>
      <c r="G487" s="860">
        <f t="shared" si="32"/>
        <v>863831.07447053073</v>
      </c>
      <c r="H487" s="854">
        <f t="shared" si="33"/>
        <v>863831.07447053073</v>
      </c>
      <c r="I487" s="453">
        <f t="shared" si="30"/>
        <v>0</v>
      </c>
      <c r="J487" s="453"/>
      <c r="K487" s="566"/>
      <c r="L487" s="459"/>
      <c r="M487" s="566"/>
      <c r="N487" s="459"/>
      <c r="O487" s="459"/>
      <c r="P487" s="4"/>
    </row>
    <row r="488" spans="3:16">
      <c r="C488" s="449">
        <f>IF(D453="","-",+C487+1)</f>
        <v>2044</v>
      </c>
      <c r="D488" s="412">
        <f t="shared" si="31"/>
        <v>4050264.6287393239</v>
      </c>
      <c r="E488" s="456">
        <f t="shared" si="34"/>
        <v>388825.40435897437</v>
      </c>
      <c r="F488" s="412">
        <f t="shared" si="29"/>
        <v>3661439.2243803497</v>
      </c>
      <c r="G488" s="851">
        <f t="shared" si="32"/>
        <v>820319.1046893195</v>
      </c>
      <c r="H488" s="854">
        <f t="shared" si="33"/>
        <v>820319.1046893195</v>
      </c>
      <c r="I488" s="453">
        <f t="shared" si="30"/>
        <v>0</v>
      </c>
      <c r="J488" s="453"/>
      <c r="K488" s="566"/>
      <c r="L488" s="459"/>
      <c r="M488" s="566"/>
      <c r="N488" s="459"/>
      <c r="O488" s="459"/>
      <c r="P488" s="4"/>
    </row>
    <row r="489" spans="3:16">
      <c r="C489" s="449">
        <f>IF(D453="","-",+C488+1)</f>
        <v>2045</v>
      </c>
      <c r="D489" s="412">
        <f t="shared" si="31"/>
        <v>3661439.2243803497</v>
      </c>
      <c r="E489" s="456">
        <f t="shared" si="34"/>
        <v>388825.40435897437</v>
      </c>
      <c r="F489" s="412">
        <f t="shared" si="29"/>
        <v>3272613.8200213755</v>
      </c>
      <c r="G489" s="851">
        <f t="shared" si="32"/>
        <v>776807.13490810839</v>
      </c>
      <c r="H489" s="854">
        <f t="shared" si="33"/>
        <v>776807.13490810839</v>
      </c>
      <c r="I489" s="453">
        <f t="shared" si="30"/>
        <v>0</v>
      </c>
      <c r="J489" s="453"/>
      <c r="K489" s="566"/>
      <c r="L489" s="459"/>
      <c r="M489" s="566"/>
      <c r="N489" s="459"/>
      <c r="O489" s="459"/>
      <c r="P489" s="4"/>
    </row>
    <row r="490" spans="3:16">
      <c r="C490" s="449">
        <f>IF(D453="","-",+C489+1)</f>
        <v>2046</v>
      </c>
      <c r="D490" s="412">
        <f t="shared" si="31"/>
        <v>3272613.8200213755</v>
      </c>
      <c r="E490" s="456">
        <f t="shared" si="34"/>
        <v>388825.40435897437</v>
      </c>
      <c r="F490" s="412">
        <f t="shared" si="29"/>
        <v>2883788.4156624014</v>
      </c>
      <c r="G490" s="851">
        <f t="shared" si="32"/>
        <v>733295.16512689716</v>
      </c>
      <c r="H490" s="854">
        <f t="shared" si="33"/>
        <v>733295.16512689716</v>
      </c>
      <c r="I490" s="453">
        <f t="shared" si="30"/>
        <v>0</v>
      </c>
      <c r="J490" s="453"/>
      <c r="K490" s="566"/>
      <c r="L490" s="459"/>
      <c r="M490" s="566"/>
      <c r="N490" s="459"/>
      <c r="O490" s="459"/>
      <c r="P490" s="4"/>
    </row>
    <row r="491" spans="3:16">
      <c r="C491" s="449">
        <f>IF(D453="","-",+C490+1)</f>
        <v>2047</v>
      </c>
      <c r="D491" s="412">
        <f t="shared" si="31"/>
        <v>2883788.4156624014</v>
      </c>
      <c r="E491" s="456">
        <f t="shared" si="34"/>
        <v>388825.40435897437</v>
      </c>
      <c r="F491" s="412">
        <f t="shared" si="29"/>
        <v>2494963.0113034272</v>
      </c>
      <c r="G491" s="851">
        <f t="shared" si="32"/>
        <v>689783.19534568605</v>
      </c>
      <c r="H491" s="854">
        <f t="shared" si="33"/>
        <v>689783.19534568605</v>
      </c>
      <c r="I491" s="453">
        <f t="shared" si="30"/>
        <v>0</v>
      </c>
      <c r="J491" s="453"/>
      <c r="K491" s="566"/>
      <c r="L491" s="459"/>
      <c r="M491" s="566"/>
      <c r="N491" s="459"/>
      <c r="O491" s="459"/>
      <c r="P491" s="4"/>
    </row>
    <row r="492" spans="3:16">
      <c r="C492" s="449">
        <f>IF(D453="","-",+C491+1)</f>
        <v>2048</v>
      </c>
      <c r="D492" s="412">
        <f t="shared" si="31"/>
        <v>2494963.0113034272</v>
      </c>
      <c r="E492" s="456">
        <f t="shared" si="34"/>
        <v>388825.40435897437</v>
      </c>
      <c r="F492" s="412">
        <f t="shared" si="29"/>
        <v>2106137.606944453</v>
      </c>
      <c r="G492" s="851">
        <f t="shared" si="32"/>
        <v>646271.22556447482</v>
      </c>
      <c r="H492" s="854">
        <f t="shared" si="33"/>
        <v>646271.22556447482</v>
      </c>
      <c r="I492" s="453">
        <f t="shared" si="30"/>
        <v>0</v>
      </c>
      <c r="J492" s="453"/>
      <c r="K492" s="566"/>
      <c r="L492" s="459"/>
      <c r="M492" s="566"/>
      <c r="N492" s="459"/>
      <c r="O492" s="459"/>
      <c r="P492" s="4"/>
    </row>
    <row r="493" spans="3:16">
      <c r="C493" s="449">
        <f>IF(D453="","-",+C492+1)</f>
        <v>2049</v>
      </c>
      <c r="D493" s="412">
        <f t="shared" si="31"/>
        <v>2106137.606944453</v>
      </c>
      <c r="E493" s="456">
        <f t="shared" si="34"/>
        <v>388825.40435897437</v>
      </c>
      <c r="F493" s="412">
        <f t="shared" si="29"/>
        <v>1717312.2025854785</v>
      </c>
      <c r="G493" s="851">
        <f t="shared" si="32"/>
        <v>602759.25578326359</v>
      </c>
      <c r="H493" s="854">
        <f t="shared" si="33"/>
        <v>602759.25578326359</v>
      </c>
      <c r="I493" s="453">
        <f t="shared" si="30"/>
        <v>0</v>
      </c>
      <c r="J493" s="453"/>
      <c r="K493" s="566"/>
      <c r="L493" s="459"/>
      <c r="M493" s="566"/>
      <c r="N493" s="459"/>
      <c r="O493" s="459"/>
      <c r="P493" s="4"/>
    </row>
    <row r="494" spans="3:16">
      <c r="C494" s="449">
        <f>IF(D453="","-",+C493+1)</f>
        <v>2050</v>
      </c>
      <c r="D494" s="412">
        <f t="shared" si="31"/>
        <v>1717312.2025854785</v>
      </c>
      <c r="E494" s="456">
        <f t="shared" si="34"/>
        <v>388825.40435897437</v>
      </c>
      <c r="F494" s="412">
        <f t="shared" si="29"/>
        <v>1328486.7982265041</v>
      </c>
      <c r="G494" s="851">
        <f t="shared" si="32"/>
        <v>559247.28600205248</v>
      </c>
      <c r="H494" s="854">
        <f t="shared" si="33"/>
        <v>559247.28600205248</v>
      </c>
      <c r="I494" s="453">
        <f t="shared" si="30"/>
        <v>0</v>
      </c>
      <c r="J494" s="453"/>
      <c r="K494" s="566"/>
      <c r="L494" s="459"/>
      <c r="M494" s="566"/>
      <c r="N494" s="459"/>
      <c r="O494" s="459"/>
      <c r="P494" s="4"/>
    </row>
    <row r="495" spans="3:16">
      <c r="C495" s="449">
        <f>IF(D453="","-",+C494+1)</f>
        <v>2051</v>
      </c>
      <c r="D495" s="412">
        <f t="shared" si="31"/>
        <v>1328486.7982265041</v>
      </c>
      <c r="E495" s="456">
        <f t="shared" si="34"/>
        <v>388825.40435897437</v>
      </c>
      <c r="F495" s="412">
        <f t="shared" si="29"/>
        <v>939661.3938675297</v>
      </c>
      <c r="G495" s="851">
        <f t="shared" si="32"/>
        <v>515735.31622084125</v>
      </c>
      <c r="H495" s="854">
        <f t="shared" si="33"/>
        <v>515735.31622084125</v>
      </c>
      <c r="I495" s="453">
        <f t="shared" si="30"/>
        <v>0</v>
      </c>
      <c r="J495" s="453"/>
      <c r="K495" s="566"/>
      <c r="L495" s="459"/>
      <c r="M495" s="566"/>
      <c r="N495" s="459"/>
      <c r="O495" s="459"/>
      <c r="P495" s="4"/>
    </row>
    <row r="496" spans="3:16">
      <c r="C496" s="449">
        <f>IF(D453="","-",+C495+1)</f>
        <v>2052</v>
      </c>
      <c r="D496" s="412">
        <f t="shared" si="31"/>
        <v>939661.3938675297</v>
      </c>
      <c r="E496" s="456">
        <f t="shared" si="34"/>
        <v>388825.40435897437</v>
      </c>
      <c r="F496" s="412">
        <f t="shared" si="29"/>
        <v>550835.98950855527</v>
      </c>
      <c r="G496" s="851">
        <f t="shared" si="32"/>
        <v>472223.34643963008</v>
      </c>
      <c r="H496" s="854">
        <f t="shared" si="33"/>
        <v>472223.34643963008</v>
      </c>
      <c r="I496" s="453">
        <f t="shared" si="30"/>
        <v>0</v>
      </c>
      <c r="J496" s="453"/>
      <c r="K496" s="566"/>
      <c r="L496" s="459"/>
      <c r="M496" s="566"/>
      <c r="N496" s="459"/>
      <c r="O496" s="459"/>
      <c r="P496" s="4"/>
    </row>
    <row r="497" spans="3:16">
      <c r="C497" s="449">
        <f>IF(D453="","-",+C496+1)</f>
        <v>2053</v>
      </c>
      <c r="D497" s="412">
        <f t="shared" si="31"/>
        <v>550835.98950855527</v>
      </c>
      <c r="E497" s="456">
        <f t="shared" si="34"/>
        <v>388825.40435897437</v>
      </c>
      <c r="F497" s="412">
        <f t="shared" si="29"/>
        <v>162010.5851495809</v>
      </c>
      <c r="G497" s="851">
        <f t="shared" si="32"/>
        <v>428711.37665841886</v>
      </c>
      <c r="H497" s="854">
        <f t="shared" si="33"/>
        <v>428711.37665841886</v>
      </c>
      <c r="I497" s="453">
        <f t="shared" si="30"/>
        <v>0</v>
      </c>
      <c r="J497" s="453"/>
      <c r="K497" s="566"/>
      <c r="L497" s="459"/>
      <c r="M497" s="566"/>
      <c r="N497" s="459"/>
      <c r="O497" s="459"/>
      <c r="P497" s="4"/>
    </row>
    <row r="498" spans="3:16">
      <c r="C498" s="449">
        <f>IF(D453="","-",+C497+1)</f>
        <v>2054</v>
      </c>
      <c r="D498" s="412">
        <f t="shared" si="31"/>
        <v>162010.5851495809</v>
      </c>
      <c r="E498" s="456">
        <f t="shared" si="34"/>
        <v>162010.5851495809</v>
      </c>
      <c r="F498" s="412">
        <f t="shared" si="29"/>
        <v>0</v>
      </c>
      <c r="G498" s="851">
        <f t="shared" si="32"/>
        <v>171075.57885400037</v>
      </c>
      <c r="H498" s="854">
        <f t="shared" si="33"/>
        <v>171075.57885400037</v>
      </c>
      <c r="I498" s="453">
        <f t="shared" si="30"/>
        <v>0</v>
      </c>
      <c r="J498" s="453"/>
      <c r="K498" s="566"/>
      <c r="L498" s="459"/>
      <c r="M498" s="566"/>
      <c r="N498" s="459"/>
      <c r="O498" s="459"/>
      <c r="P498" s="4"/>
    </row>
    <row r="499" spans="3:16">
      <c r="C499" s="449">
        <f>IF(D453="","-",+C498+1)</f>
        <v>2055</v>
      </c>
      <c r="D499" s="412">
        <f t="shared" si="31"/>
        <v>0</v>
      </c>
      <c r="E499" s="456">
        <f t="shared" si="34"/>
        <v>0</v>
      </c>
      <c r="F499" s="412">
        <f t="shared" si="29"/>
        <v>0</v>
      </c>
      <c r="G499" s="851">
        <f t="shared" si="32"/>
        <v>0</v>
      </c>
      <c r="H499" s="854">
        <f t="shared" si="33"/>
        <v>0</v>
      </c>
      <c r="I499" s="453">
        <f t="shared" si="30"/>
        <v>0</v>
      </c>
      <c r="J499" s="453"/>
      <c r="K499" s="566"/>
      <c r="L499" s="459"/>
      <c r="M499" s="566"/>
      <c r="N499" s="459"/>
      <c r="O499" s="459"/>
      <c r="P499" s="4"/>
    </row>
    <row r="500" spans="3:16">
      <c r="C500" s="449">
        <f>IF(D453="","-",+C499+1)</f>
        <v>2056</v>
      </c>
      <c r="D500" s="412">
        <f t="shared" si="31"/>
        <v>0</v>
      </c>
      <c r="E500" s="456">
        <f t="shared" si="34"/>
        <v>0</v>
      </c>
      <c r="F500" s="412">
        <f t="shared" si="29"/>
        <v>0</v>
      </c>
      <c r="G500" s="851">
        <f t="shared" si="32"/>
        <v>0</v>
      </c>
      <c r="H500" s="854">
        <f t="shared" si="33"/>
        <v>0</v>
      </c>
      <c r="I500" s="453">
        <f t="shared" si="30"/>
        <v>0</v>
      </c>
      <c r="J500" s="453"/>
      <c r="K500" s="566"/>
      <c r="L500" s="459"/>
      <c r="M500" s="566"/>
      <c r="N500" s="459"/>
      <c r="O500" s="459"/>
      <c r="P500" s="4"/>
    </row>
    <row r="501" spans="3:16">
      <c r="C501" s="449">
        <f>IF(D453="","-",+C500+1)</f>
        <v>2057</v>
      </c>
      <c r="D501" s="412">
        <f t="shared" si="31"/>
        <v>0</v>
      </c>
      <c r="E501" s="456">
        <f t="shared" si="34"/>
        <v>0</v>
      </c>
      <c r="F501" s="412">
        <f t="shared" si="29"/>
        <v>0</v>
      </c>
      <c r="G501" s="851">
        <f t="shared" si="32"/>
        <v>0</v>
      </c>
      <c r="H501" s="854">
        <f t="shared" si="33"/>
        <v>0</v>
      </c>
      <c r="I501" s="453">
        <f t="shared" si="30"/>
        <v>0</v>
      </c>
      <c r="J501" s="453"/>
      <c r="K501" s="566"/>
      <c r="L501" s="459"/>
      <c r="M501" s="566"/>
      <c r="N501" s="459"/>
      <c r="O501" s="459"/>
      <c r="P501" s="4"/>
    </row>
    <row r="502" spans="3:16">
      <c r="C502" s="449">
        <f>IF(D453="","-",+C501+1)</f>
        <v>2058</v>
      </c>
      <c r="D502" s="412">
        <f t="shared" si="31"/>
        <v>0</v>
      </c>
      <c r="E502" s="456">
        <f t="shared" si="34"/>
        <v>0</v>
      </c>
      <c r="F502" s="412">
        <f t="shared" si="29"/>
        <v>0</v>
      </c>
      <c r="G502" s="851">
        <f t="shared" si="32"/>
        <v>0</v>
      </c>
      <c r="H502" s="854">
        <f t="shared" si="33"/>
        <v>0</v>
      </c>
      <c r="I502" s="453">
        <f t="shared" si="30"/>
        <v>0</v>
      </c>
      <c r="J502" s="453"/>
      <c r="K502" s="566"/>
      <c r="L502" s="459"/>
      <c r="M502" s="566"/>
      <c r="N502" s="459"/>
      <c r="O502" s="459"/>
      <c r="P502" s="4"/>
    </row>
    <row r="503" spans="3:16">
      <c r="C503" s="449">
        <f>IF(D453="","-",+C502+1)</f>
        <v>2059</v>
      </c>
      <c r="D503" s="412">
        <f t="shared" si="31"/>
        <v>0</v>
      </c>
      <c r="E503" s="456">
        <f t="shared" si="34"/>
        <v>0</v>
      </c>
      <c r="F503" s="412">
        <f t="shared" si="29"/>
        <v>0</v>
      </c>
      <c r="G503" s="851">
        <f t="shared" si="32"/>
        <v>0</v>
      </c>
      <c r="H503" s="854">
        <f t="shared" si="33"/>
        <v>0</v>
      </c>
      <c r="I503" s="453">
        <f t="shared" si="30"/>
        <v>0</v>
      </c>
      <c r="J503" s="453"/>
      <c r="K503" s="566"/>
      <c r="L503" s="459"/>
      <c r="M503" s="566"/>
      <c r="N503" s="459"/>
      <c r="O503" s="459"/>
      <c r="P503" s="4"/>
    </row>
    <row r="504" spans="3:16">
      <c r="C504" s="449">
        <f>IF(D453="","-",+C503+1)</f>
        <v>2060</v>
      </c>
      <c r="D504" s="412">
        <f t="shared" si="31"/>
        <v>0</v>
      </c>
      <c r="E504" s="456">
        <f t="shared" si="34"/>
        <v>0</v>
      </c>
      <c r="F504" s="412">
        <f t="shared" si="29"/>
        <v>0</v>
      </c>
      <c r="G504" s="851">
        <f t="shared" si="32"/>
        <v>0</v>
      </c>
      <c r="H504" s="854">
        <f t="shared" si="33"/>
        <v>0</v>
      </c>
      <c r="I504" s="453">
        <f t="shared" si="30"/>
        <v>0</v>
      </c>
      <c r="J504" s="453"/>
      <c r="K504" s="566"/>
      <c r="L504" s="459"/>
      <c r="M504" s="566"/>
      <c r="N504" s="459"/>
      <c r="O504" s="459"/>
      <c r="P504" s="4"/>
    </row>
    <row r="505" spans="3:16">
      <c r="C505" s="449">
        <f>IF(D453="","-",+C504+1)</f>
        <v>2061</v>
      </c>
      <c r="D505" s="412">
        <f t="shared" si="31"/>
        <v>0</v>
      </c>
      <c r="E505" s="456">
        <f t="shared" si="34"/>
        <v>0</v>
      </c>
      <c r="F505" s="412">
        <f t="shared" si="29"/>
        <v>0</v>
      </c>
      <c r="G505" s="851">
        <f t="shared" si="32"/>
        <v>0</v>
      </c>
      <c r="H505" s="854">
        <f t="shared" si="33"/>
        <v>0</v>
      </c>
      <c r="I505" s="453">
        <f t="shared" si="30"/>
        <v>0</v>
      </c>
      <c r="J505" s="453"/>
      <c r="K505" s="566"/>
      <c r="L505" s="459"/>
      <c r="M505" s="566"/>
      <c r="N505" s="459"/>
      <c r="O505" s="459"/>
      <c r="P505" s="4"/>
    </row>
    <row r="506" spans="3:16">
      <c r="C506" s="449">
        <f>IF(D453="","-",+C505+1)</f>
        <v>2062</v>
      </c>
      <c r="D506" s="412">
        <f t="shared" si="31"/>
        <v>0</v>
      </c>
      <c r="E506" s="456">
        <f t="shared" si="34"/>
        <v>0</v>
      </c>
      <c r="F506" s="412">
        <f t="shared" si="29"/>
        <v>0</v>
      </c>
      <c r="G506" s="851">
        <f t="shared" si="32"/>
        <v>0</v>
      </c>
      <c r="H506" s="854">
        <f t="shared" si="33"/>
        <v>0</v>
      </c>
      <c r="I506" s="453">
        <f t="shared" si="30"/>
        <v>0</v>
      </c>
      <c r="J506" s="453"/>
      <c r="K506" s="566"/>
      <c r="L506" s="459"/>
      <c r="M506" s="566"/>
      <c r="N506" s="459"/>
      <c r="O506" s="459"/>
      <c r="P506" s="4"/>
    </row>
    <row r="507" spans="3:16">
      <c r="C507" s="449">
        <f>IF(D453="","-",+C506+1)</f>
        <v>2063</v>
      </c>
      <c r="D507" s="412">
        <f t="shared" si="31"/>
        <v>0</v>
      </c>
      <c r="E507" s="456">
        <f t="shared" si="34"/>
        <v>0</v>
      </c>
      <c r="F507" s="412">
        <f t="shared" si="29"/>
        <v>0</v>
      </c>
      <c r="G507" s="851">
        <f t="shared" si="32"/>
        <v>0</v>
      </c>
      <c r="H507" s="854">
        <f t="shared" si="33"/>
        <v>0</v>
      </c>
      <c r="I507" s="453">
        <f t="shared" si="30"/>
        <v>0</v>
      </c>
      <c r="J507" s="453"/>
      <c r="K507" s="566"/>
      <c r="L507" s="459"/>
      <c r="M507" s="566"/>
      <c r="N507" s="459"/>
      <c r="O507" s="459"/>
      <c r="P507" s="4"/>
    </row>
    <row r="508" spans="3:16">
      <c r="C508" s="449">
        <f>IF(D453="","-",+C507+1)</f>
        <v>2064</v>
      </c>
      <c r="D508" s="412">
        <f t="shared" si="31"/>
        <v>0</v>
      </c>
      <c r="E508" s="456">
        <f t="shared" si="34"/>
        <v>0</v>
      </c>
      <c r="F508" s="412">
        <f t="shared" si="29"/>
        <v>0</v>
      </c>
      <c r="G508" s="851">
        <f t="shared" si="32"/>
        <v>0</v>
      </c>
      <c r="H508" s="854">
        <f t="shared" si="33"/>
        <v>0</v>
      </c>
      <c r="I508" s="453">
        <f t="shared" si="30"/>
        <v>0</v>
      </c>
      <c r="J508" s="453"/>
      <c r="K508" s="566"/>
      <c r="L508" s="459"/>
      <c r="M508" s="566"/>
      <c r="N508" s="459"/>
      <c r="O508" s="459"/>
      <c r="P508" s="4"/>
    </row>
    <row r="509" spans="3:16">
      <c r="C509" s="449">
        <f>IF(D453="","-",+C508+1)</f>
        <v>2065</v>
      </c>
      <c r="D509" s="412">
        <f t="shared" si="31"/>
        <v>0</v>
      </c>
      <c r="E509" s="456">
        <f t="shared" si="34"/>
        <v>0</v>
      </c>
      <c r="F509" s="412">
        <f t="shared" si="29"/>
        <v>0</v>
      </c>
      <c r="G509" s="851">
        <f t="shared" si="32"/>
        <v>0</v>
      </c>
      <c r="H509" s="854">
        <f t="shared" si="33"/>
        <v>0</v>
      </c>
      <c r="I509" s="453">
        <f t="shared" si="30"/>
        <v>0</v>
      </c>
      <c r="J509" s="453"/>
      <c r="K509" s="566"/>
      <c r="L509" s="459"/>
      <c r="M509" s="566"/>
      <c r="N509" s="459"/>
      <c r="O509" s="459"/>
      <c r="P509" s="4"/>
    </row>
    <row r="510" spans="3:16">
      <c r="C510" s="449">
        <f>IF(D453="","-",+C509+1)</f>
        <v>2066</v>
      </c>
      <c r="D510" s="412">
        <f t="shared" si="31"/>
        <v>0</v>
      </c>
      <c r="E510" s="456">
        <f t="shared" si="34"/>
        <v>0</v>
      </c>
      <c r="F510" s="412">
        <f t="shared" si="29"/>
        <v>0</v>
      </c>
      <c r="G510" s="851">
        <f t="shared" si="32"/>
        <v>0</v>
      </c>
      <c r="H510" s="854">
        <f t="shared" si="33"/>
        <v>0</v>
      </c>
      <c r="I510" s="453">
        <f t="shared" si="30"/>
        <v>0</v>
      </c>
      <c r="J510" s="453"/>
      <c r="K510" s="566"/>
      <c r="L510" s="459"/>
      <c r="M510" s="566"/>
      <c r="N510" s="459"/>
      <c r="O510" s="459"/>
      <c r="P510" s="4"/>
    </row>
    <row r="511" spans="3:16">
      <c r="C511" s="449">
        <f>IF(D453="","-",+C510+1)</f>
        <v>2067</v>
      </c>
      <c r="D511" s="412">
        <f t="shared" si="31"/>
        <v>0</v>
      </c>
      <c r="E511" s="456">
        <f t="shared" si="34"/>
        <v>0</v>
      </c>
      <c r="F511" s="412">
        <f t="shared" si="29"/>
        <v>0</v>
      </c>
      <c r="G511" s="851">
        <f t="shared" si="32"/>
        <v>0</v>
      </c>
      <c r="H511" s="854">
        <f t="shared" si="33"/>
        <v>0</v>
      </c>
      <c r="I511" s="453">
        <f t="shared" si="30"/>
        <v>0</v>
      </c>
      <c r="J511" s="453"/>
      <c r="K511" s="566"/>
      <c r="L511" s="459"/>
      <c r="M511" s="566"/>
      <c r="N511" s="459"/>
      <c r="O511" s="459"/>
      <c r="P511" s="4"/>
    </row>
    <row r="512" spans="3:16">
      <c r="C512" s="449">
        <f>IF(D453="","-",+C511+1)</f>
        <v>2068</v>
      </c>
      <c r="D512" s="412">
        <f t="shared" si="31"/>
        <v>0</v>
      </c>
      <c r="E512" s="456">
        <f t="shared" si="34"/>
        <v>0</v>
      </c>
      <c r="F512" s="412">
        <f t="shared" si="29"/>
        <v>0</v>
      </c>
      <c r="G512" s="851">
        <f t="shared" si="32"/>
        <v>0</v>
      </c>
      <c r="H512" s="854">
        <f t="shared" si="33"/>
        <v>0</v>
      </c>
      <c r="I512" s="453">
        <f t="shared" si="30"/>
        <v>0</v>
      </c>
      <c r="J512" s="453"/>
      <c r="K512" s="566"/>
      <c r="L512" s="459"/>
      <c r="M512" s="566"/>
      <c r="N512" s="459"/>
      <c r="O512" s="459"/>
      <c r="P512" s="4"/>
    </row>
    <row r="513" spans="3:16">
      <c r="C513" s="449">
        <f>IF(D453="","-",+C512+1)</f>
        <v>2069</v>
      </c>
      <c r="D513" s="412">
        <f t="shared" si="31"/>
        <v>0</v>
      </c>
      <c r="E513" s="456">
        <f t="shared" si="34"/>
        <v>0</v>
      </c>
      <c r="F513" s="412">
        <f t="shared" si="29"/>
        <v>0</v>
      </c>
      <c r="G513" s="851">
        <f t="shared" si="32"/>
        <v>0</v>
      </c>
      <c r="H513" s="854">
        <f t="shared" si="33"/>
        <v>0</v>
      </c>
      <c r="I513" s="453">
        <f t="shared" si="30"/>
        <v>0</v>
      </c>
      <c r="J513" s="453"/>
      <c r="K513" s="566"/>
      <c r="L513" s="459"/>
      <c r="M513" s="566"/>
      <c r="N513" s="459"/>
      <c r="O513" s="459"/>
      <c r="P513" s="4"/>
    </row>
    <row r="514" spans="3:16">
      <c r="C514" s="449">
        <f>IF(D453="","-",+C513+1)</f>
        <v>2070</v>
      </c>
      <c r="D514" s="412">
        <f t="shared" si="31"/>
        <v>0</v>
      </c>
      <c r="E514" s="456">
        <f t="shared" si="34"/>
        <v>0</v>
      </c>
      <c r="F514" s="412">
        <f t="shared" si="29"/>
        <v>0</v>
      </c>
      <c r="G514" s="851">
        <f t="shared" si="32"/>
        <v>0</v>
      </c>
      <c r="H514" s="854">
        <f t="shared" si="33"/>
        <v>0</v>
      </c>
      <c r="I514" s="453">
        <f t="shared" si="30"/>
        <v>0</v>
      </c>
      <c r="J514" s="453"/>
      <c r="K514" s="566"/>
      <c r="L514" s="459"/>
      <c r="M514" s="566"/>
      <c r="N514" s="459"/>
      <c r="O514" s="459"/>
      <c r="P514" s="4"/>
    </row>
    <row r="515" spans="3:16">
      <c r="C515" s="449">
        <f>IF(D453="","-",+C514+1)</f>
        <v>2071</v>
      </c>
      <c r="D515" s="412">
        <f t="shared" si="31"/>
        <v>0</v>
      </c>
      <c r="E515" s="456">
        <f t="shared" si="34"/>
        <v>0</v>
      </c>
      <c r="F515" s="412">
        <f t="shared" si="29"/>
        <v>0</v>
      </c>
      <c r="G515" s="851">
        <f t="shared" si="32"/>
        <v>0</v>
      </c>
      <c r="H515" s="854">
        <f t="shared" si="33"/>
        <v>0</v>
      </c>
      <c r="I515" s="453">
        <f t="shared" si="30"/>
        <v>0</v>
      </c>
      <c r="J515" s="453"/>
      <c r="K515" s="566"/>
      <c r="L515" s="459"/>
      <c r="M515" s="566"/>
      <c r="N515" s="459"/>
      <c r="O515" s="459"/>
      <c r="P515" s="4"/>
    </row>
    <row r="516" spans="3:16">
      <c r="C516" s="449">
        <f>IF(D453="","-",+C515+1)</f>
        <v>2072</v>
      </c>
      <c r="D516" s="412">
        <f t="shared" si="31"/>
        <v>0</v>
      </c>
      <c r="E516" s="456">
        <f t="shared" si="34"/>
        <v>0</v>
      </c>
      <c r="F516" s="412">
        <f t="shared" si="29"/>
        <v>0</v>
      </c>
      <c r="G516" s="851">
        <f t="shared" si="32"/>
        <v>0</v>
      </c>
      <c r="H516" s="854">
        <f t="shared" si="33"/>
        <v>0</v>
      </c>
      <c r="I516" s="453">
        <f t="shared" si="30"/>
        <v>0</v>
      </c>
      <c r="J516" s="453"/>
      <c r="K516" s="566"/>
      <c r="L516" s="459"/>
      <c r="M516" s="566"/>
      <c r="N516" s="459"/>
      <c r="O516" s="459"/>
      <c r="P516" s="4"/>
    </row>
    <row r="517" spans="3:16">
      <c r="C517" s="449">
        <f>IF(D453="","-",+C516+1)</f>
        <v>2073</v>
      </c>
      <c r="D517" s="412">
        <f t="shared" si="31"/>
        <v>0</v>
      </c>
      <c r="E517" s="456">
        <f t="shared" si="34"/>
        <v>0</v>
      </c>
      <c r="F517" s="412">
        <f t="shared" si="29"/>
        <v>0</v>
      </c>
      <c r="G517" s="851">
        <f t="shared" si="32"/>
        <v>0</v>
      </c>
      <c r="H517" s="854">
        <f t="shared" si="33"/>
        <v>0</v>
      </c>
      <c r="I517" s="453">
        <f t="shared" si="30"/>
        <v>0</v>
      </c>
      <c r="J517" s="453"/>
      <c r="K517" s="566"/>
      <c r="L517" s="459"/>
      <c r="M517" s="566"/>
      <c r="N517" s="459"/>
      <c r="O517" s="459"/>
      <c r="P517" s="4"/>
    </row>
    <row r="518" spans="3:16" ht="13.5" thickBot="1">
      <c r="C518" s="461">
        <f>IF(D453="","-",+C517+1)</f>
        <v>2074</v>
      </c>
      <c r="D518" s="462">
        <f t="shared" si="31"/>
        <v>0</v>
      </c>
      <c r="E518" s="463">
        <f t="shared" si="34"/>
        <v>0</v>
      </c>
      <c r="F518" s="462">
        <f t="shared" si="29"/>
        <v>0</v>
      </c>
      <c r="G518" s="861">
        <f t="shared" si="32"/>
        <v>0</v>
      </c>
      <c r="H518" s="861">
        <f t="shared" si="33"/>
        <v>0</v>
      </c>
      <c r="I518" s="465">
        <f t="shared" si="30"/>
        <v>0</v>
      </c>
      <c r="J518" s="453"/>
      <c r="K518" s="567"/>
      <c r="L518" s="467"/>
      <c r="M518" s="567"/>
      <c r="N518" s="467"/>
      <c r="O518" s="467"/>
      <c r="P518" s="4"/>
    </row>
    <row r="519" spans="3:16">
      <c r="C519" s="412" t="s">
        <v>288</v>
      </c>
      <c r="D519" s="832"/>
      <c r="E519" s="832">
        <f>SUM(E459:E518)</f>
        <v>15164190.77</v>
      </c>
      <c r="F519" s="832"/>
      <c r="G519" s="832">
        <f>SUM(G459:G518)</f>
        <v>48962113.297555842</v>
      </c>
      <c r="H519" s="832">
        <f>SUM(H459:H518)</f>
        <v>48962113.297555842</v>
      </c>
      <c r="I519" s="832">
        <f>SUM(I459:I518)</f>
        <v>0</v>
      </c>
      <c r="J519" s="832"/>
      <c r="K519" s="832"/>
      <c r="L519" s="832"/>
      <c r="M519" s="832"/>
      <c r="N519" s="832"/>
      <c r="O519" s="4"/>
      <c r="P519" s="4"/>
    </row>
    <row r="520" spans="3:16">
      <c r="D520" s="67"/>
      <c r="E520" s="4"/>
      <c r="F520" s="4"/>
      <c r="G520" s="4"/>
      <c r="H520" s="831"/>
      <c r="I520" s="831"/>
      <c r="J520" s="832"/>
      <c r="K520" s="831"/>
      <c r="L520" s="831"/>
      <c r="M520" s="831"/>
      <c r="N520" s="831"/>
      <c r="O520" s="4"/>
      <c r="P520" s="4"/>
    </row>
    <row r="521" spans="3:16">
      <c r="C521" s="4" t="s">
        <v>601</v>
      </c>
      <c r="D521" s="67"/>
      <c r="E521" s="4"/>
      <c r="F521" s="4"/>
      <c r="G521" s="4"/>
      <c r="H521" s="831"/>
      <c r="I521" s="831"/>
      <c r="J521" s="832"/>
      <c r="K521" s="831"/>
      <c r="L521" s="831"/>
      <c r="M521" s="831"/>
      <c r="N521" s="831"/>
      <c r="O521" s="4"/>
      <c r="P521" s="4"/>
    </row>
    <row r="522" spans="3:16">
      <c r="D522" s="67"/>
      <c r="E522" s="4"/>
      <c r="F522" s="4"/>
      <c r="G522" s="4"/>
      <c r="H522" s="831"/>
      <c r="I522" s="831"/>
      <c r="J522" s="832"/>
      <c r="K522" s="831"/>
      <c r="L522" s="831"/>
      <c r="M522" s="831"/>
      <c r="N522" s="831"/>
      <c r="O522" s="4"/>
      <c r="P522" s="4"/>
    </row>
    <row r="523" spans="3:16">
      <c r="C523" s="4" t="s">
        <v>602</v>
      </c>
      <c r="D523" s="412"/>
      <c r="E523" s="412"/>
      <c r="F523" s="412"/>
      <c r="G523" s="832"/>
      <c r="H523" s="832"/>
      <c r="I523" s="414"/>
      <c r="J523" s="414"/>
      <c r="K523" s="414"/>
      <c r="L523" s="414"/>
      <c r="M523" s="414"/>
      <c r="N523" s="414"/>
      <c r="O523" s="4"/>
      <c r="P523" s="4"/>
    </row>
    <row r="524" spans="3:16">
      <c r="C524" s="4" t="s">
        <v>476</v>
      </c>
      <c r="D524" s="412"/>
      <c r="E524" s="412"/>
      <c r="F524" s="412"/>
      <c r="G524" s="832"/>
      <c r="H524" s="832"/>
      <c r="I524" s="414"/>
      <c r="J524" s="414"/>
      <c r="K524" s="414"/>
      <c r="L524" s="414"/>
      <c r="M524" s="414"/>
      <c r="N524" s="414"/>
      <c r="O524" s="4"/>
      <c r="P524" s="4"/>
    </row>
    <row r="525" spans="3:16">
      <c r="C525" s="4" t="s">
        <v>289</v>
      </c>
      <c r="D525" s="412"/>
      <c r="E525" s="412"/>
      <c r="F525" s="412"/>
      <c r="G525" s="832"/>
      <c r="H525" s="832"/>
      <c r="I525" s="414"/>
      <c r="J525" s="414"/>
      <c r="K525" s="414"/>
      <c r="L525" s="414"/>
      <c r="M525" s="414"/>
      <c r="N525" s="414"/>
      <c r="O525" s="4"/>
      <c r="P525" s="4"/>
    </row>
    <row r="526" spans="3:16">
      <c r="C526" s="413"/>
      <c r="D526" s="412"/>
      <c r="E526" s="412"/>
      <c r="F526" s="412"/>
      <c r="G526" s="832"/>
      <c r="H526" s="832"/>
      <c r="I526" s="414"/>
      <c r="J526" s="414"/>
      <c r="K526" s="414"/>
      <c r="L526" s="414"/>
      <c r="M526" s="414"/>
      <c r="N526" s="414"/>
      <c r="O526" s="4"/>
      <c r="P526" s="4"/>
    </row>
    <row r="527" spans="3:16">
      <c r="C527" s="1279" t="s">
        <v>460</v>
      </c>
      <c r="D527" s="1279"/>
      <c r="E527" s="1279"/>
      <c r="F527" s="1279"/>
      <c r="G527" s="1279"/>
      <c r="H527" s="1279"/>
      <c r="I527" s="1279"/>
      <c r="J527" s="1279"/>
      <c r="K527" s="1279"/>
      <c r="L527" s="1279"/>
      <c r="M527" s="1279"/>
      <c r="N527" s="1279"/>
      <c r="O527" s="1279"/>
      <c r="P527" s="4"/>
    </row>
    <row r="528" spans="3:16">
      <c r="C528" s="1279"/>
      <c r="D528" s="1279"/>
      <c r="E528" s="1279"/>
      <c r="F528" s="1279"/>
      <c r="G528" s="1279"/>
      <c r="H528" s="1279"/>
      <c r="I528" s="1279"/>
      <c r="J528" s="1279"/>
      <c r="K528" s="1279"/>
      <c r="L528" s="1279"/>
      <c r="M528" s="1279"/>
      <c r="N528" s="1279"/>
      <c r="O528" s="1279"/>
      <c r="P528" s="4"/>
    </row>
    <row r="529" spans="1:16" ht="20.25">
      <c r="A529" s="352" t="s">
        <v>929</v>
      </c>
      <c r="B529" s="4"/>
      <c r="C529" s="4"/>
      <c r="D529" s="67"/>
      <c r="E529" s="4"/>
      <c r="F529" s="394"/>
      <c r="G529" s="4"/>
      <c r="H529" s="831"/>
      <c r="K529" s="353"/>
      <c r="L529" s="353"/>
      <c r="M529" s="353"/>
      <c r="N529" s="353" t="str">
        <f>"Page "&amp;SUM(P$6:P529)&amp;" of "</f>
        <v xml:space="preserve">Page 7 of </v>
      </c>
      <c r="O529" s="354">
        <f>COUNT(P$6:P$59606)</f>
        <v>18</v>
      </c>
      <c r="P529" s="4">
        <v>1</v>
      </c>
    </row>
    <row r="530" spans="1:16">
      <c r="B530" s="4"/>
      <c r="C530" s="4"/>
      <c r="D530" s="67"/>
      <c r="E530" s="4"/>
      <c r="F530" s="4"/>
      <c r="G530" s="4"/>
      <c r="H530" s="831"/>
      <c r="I530" s="4"/>
      <c r="J530" s="4"/>
      <c r="K530" s="4"/>
      <c r="L530" s="4"/>
      <c r="M530" s="4"/>
      <c r="N530" s="4"/>
      <c r="O530" s="4"/>
      <c r="P530" s="4"/>
    </row>
    <row r="531" spans="1:16" ht="18">
      <c r="B531" s="355" t="s">
        <v>174</v>
      </c>
      <c r="C531" s="415" t="s">
        <v>290</v>
      </c>
      <c r="D531" s="67"/>
      <c r="E531" s="4"/>
      <c r="F531" s="4"/>
      <c r="G531" s="4"/>
      <c r="H531" s="831"/>
      <c r="I531" s="831"/>
      <c r="J531" s="832"/>
      <c r="K531" s="831"/>
      <c r="L531" s="831"/>
      <c r="M531" s="831"/>
      <c r="N531" s="831"/>
      <c r="O531" s="4"/>
      <c r="P531" s="4"/>
    </row>
    <row r="532" spans="1:16" ht="18.75">
      <c r="B532" s="355"/>
      <c r="C532" s="11"/>
      <c r="D532" s="67"/>
      <c r="E532" s="4"/>
      <c r="F532" s="4"/>
      <c r="G532" s="4"/>
      <c r="H532" s="831"/>
      <c r="I532" s="831"/>
      <c r="J532" s="832"/>
      <c r="K532" s="831"/>
      <c r="L532" s="831"/>
      <c r="M532" s="831"/>
      <c r="N532" s="831"/>
      <c r="O532" s="4"/>
      <c r="P532" s="4"/>
    </row>
    <row r="533" spans="1:16" ht="18.75">
      <c r="B533" s="355"/>
      <c r="C533" s="11" t="s">
        <v>291</v>
      </c>
      <c r="D533" s="67"/>
      <c r="E533" s="4"/>
      <c r="F533" s="4"/>
      <c r="G533" s="4"/>
      <c r="H533" s="831"/>
      <c r="I533" s="831"/>
      <c r="J533" s="832"/>
      <c r="K533" s="831"/>
      <c r="L533" s="831"/>
      <c r="M533" s="831"/>
      <c r="N533" s="831"/>
      <c r="O533" s="4"/>
      <c r="P533" s="4"/>
    </row>
    <row r="534" spans="1:16" ht="15.75" thickBot="1">
      <c r="C534" s="203"/>
      <c r="D534" s="67"/>
      <c r="E534" s="4"/>
      <c r="F534" s="4"/>
      <c r="G534" s="4"/>
      <c r="H534" s="831"/>
      <c r="I534" s="831"/>
      <c r="J534" s="832"/>
      <c r="K534" s="831"/>
      <c r="L534" s="831"/>
      <c r="M534" s="831"/>
      <c r="N534" s="831"/>
      <c r="O534" s="4"/>
      <c r="P534" s="4"/>
    </row>
    <row r="535" spans="1:16" ht="15.75">
      <c r="C535" s="356" t="s">
        <v>292</v>
      </c>
      <c r="D535" s="67"/>
      <c r="E535" s="4"/>
      <c r="F535" s="4"/>
      <c r="G535" s="833"/>
      <c r="H535" s="4" t="s">
        <v>271</v>
      </c>
      <c r="I535" s="4"/>
      <c r="J535" s="4"/>
      <c r="K535" s="416" t="s">
        <v>296</v>
      </c>
      <c r="L535" s="417"/>
      <c r="M535" s="418"/>
      <c r="N535" s="834">
        <f>VLOOKUP(I541,C548:O607,5)</f>
        <v>377398.62112054194</v>
      </c>
      <c r="O535" s="4"/>
      <c r="P535" s="4"/>
    </row>
    <row r="536" spans="1:16" ht="15.75">
      <c r="C536" s="356"/>
      <c r="D536" s="67"/>
      <c r="E536" s="4"/>
      <c r="F536" s="4"/>
      <c r="G536" s="4"/>
      <c r="H536" s="835"/>
      <c r="I536" s="835"/>
      <c r="J536" s="836"/>
      <c r="K536" s="421" t="s">
        <v>297</v>
      </c>
      <c r="L536" s="837"/>
      <c r="M536" s="4"/>
      <c r="N536" s="838">
        <f>VLOOKUP(I541,C548:O607,6)</f>
        <v>377398.62112054194</v>
      </c>
      <c r="O536" s="4"/>
      <c r="P536" s="4"/>
    </row>
    <row r="537" spans="1:16" ht="13.5" thickBot="1">
      <c r="C537" s="422" t="s">
        <v>293</v>
      </c>
      <c r="D537" s="1277" t="s">
        <v>936</v>
      </c>
      <c r="E537" s="1277"/>
      <c r="F537" s="1277"/>
      <c r="G537" s="1277"/>
      <c r="H537" s="1277"/>
      <c r="I537" s="831"/>
      <c r="J537" s="832"/>
      <c r="K537" s="839" t="s">
        <v>450</v>
      </c>
      <c r="L537" s="840"/>
      <c r="M537" s="840"/>
      <c r="N537" s="841">
        <f>+N536-N535</f>
        <v>0</v>
      </c>
      <c r="O537" s="4"/>
      <c r="P537" s="4"/>
    </row>
    <row r="538" spans="1:16">
      <c r="C538" s="424"/>
      <c r="D538" s="425"/>
      <c r="E538" s="412"/>
      <c r="F538" s="412"/>
      <c r="G538" s="426"/>
      <c r="H538" s="831"/>
      <c r="I538" s="831"/>
      <c r="J538" s="832"/>
      <c r="K538" s="831"/>
      <c r="L538" s="831"/>
      <c r="M538" s="831"/>
      <c r="N538" s="831"/>
      <c r="O538" s="4"/>
      <c r="P538" s="4"/>
    </row>
    <row r="539" spans="1:16" ht="13.5" thickBot="1">
      <c r="C539" s="424"/>
      <c r="D539" s="4"/>
      <c r="E539" s="426"/>
      <c r="F539" s="426"/>
      <c r="G539" s="426"/>
      <c r="H539" s="426"/>
      <c r="I539" s="426"/>
      <c r="J539" s="426"/>
      <c r="K539" s="426"/>
      <c r="L539" s="426"/>
      <c r="M539" s="426"/>
      <c r="N539" s="426"/>
      <c r="O539" s="4"/>
      <c r="P539" s="4"/>
    </row>
    <row r="540" spans="1:16" ht="13.5" thickBot="1">
      <c r="C540" s="427" t="s">
        <v>294</v>
      </c>
      <c r="D540" s="428"/>
      <c r="E540" s="428"/>
      <c r="F540" s="428"/>
      <c r="G540" s="428"/>
      <c r="H540" s="428"/>
      <c r="I540" s="429"/>
      <c r="K540" s="4"/>
      <c r="L540" s="4"/>
      <c r="M540" s="4"/>
      <c r="N540" s="4"/>
      <c r="O540" s="4"/>
      <c r="P540" s="4"/>
    </row>
    <row r="541" spans="1:16" ht="15">
      <c r="C541" s="430" t="s">
        <v>272</v>
      </c>
      <c r="D541" s="560">
        <v>3429372.0402000002</v>
      </c>
      <c r="E541" s="4" t="s">
        <v>273</v>
      </c>
      <c r="G541" s="67"/>
      <c r="H541" s="67"/>
      <c r="I541" s="431">
        <f>$L$26</f>
        <v>2026</v>
      </c>
      <c r="J541" s="114"/>
      <c r="K541" s="1278" t="s">
        <v>459</v>
      </c>
      <c r="L541" s="1278"/>
      <c r="M541" s="1278"/>
      <c r="N541" s="1278"/>
      <c r="O541" s="1278"/>
      <c r="P541" s="4"/>
    </row>
    <row r="542" spans="1:16">
      <c r="C542" s="430" t="s">
        <v>275</v>
      </c>
      <c r="D542" s="561">
        <v>2016</v>
      </c>
      <c r="E542" s="430" t="s">
        <v>276</v>
      </c>
      <c r="F542" s="67"/>
      <c r="I542" s="564">
        <f>IF(G535="",0,$F$15)</f>
        <v>0</v>
      </c>
      <c r="J542" s="432"/>
      <c r="K542" s="832" t="s">
        <v>459</v>
      </c>
      <c r="P542" s="4"/>
    </row>
    <row r="543" spans="1:16">
      <c r="C543" s="430" t="s">
        <v>277</v>
      </c>
      <c r="D543" s="843">
        <v>11</v>
      </c>
      <c r="E543" s="430" t="s">
        <v>278</v>
      </c>
      <c r="F543" s="67"/>
      <c r="I543" s="433">
        <f>$G$70</f>
        <v>0.1119061905251431</v>
      </c>
      <c r="J543" s="394"/>
      <c r="K543" t="str">
        <f>"          INPUT PROJECTED ARR (WITH &amp; WITHOUT INCENTIVES) FROM EACH PRIOR YEAR"</f>
        <v xml:space="preserve">          INPUT PROJECTED ARR (WITH &amp; WITHOUT INCENTIVES) FROM EACH PRIOR YEAR</v>
      </c>
      <c r="P543" s="4"/>
    </row>
    <row r="544" spans="1:16">
      <c r="C544" s="430" t="s">
        <v>279</v>
      </c>
      <c r="D544" s="434">
        <f>G$79</f>
        <v>39</v>
      </c>
      <c r="E544" s="430" t="s">
        <v>280</v>
      </c>
      <c r="F544" s="67"/>
      <c r="I544" s="433">
        <f>IF(G535="",I543,$G$67)</f>
        <v>0.1119061905251431</v>
      </c>
      <c r="J544" s="394"/>
      <c r="K544" t="s">
        <v>357</v>
      </c>
      <c r="P544" s="4"/>
    </row>
    <row r="545" spans="1:16" ht="13.5" thickBot="1">
      <c r="C545" s="430" t="s">
        <v>281</v>
      </c>
      <c r="D545" s="563" t="s">
        <v>931</v>
      </c>
      <c r="E545" s="435" t="s">
        <v>282</v>
      </c>
      <c r="F545" s="436"/>
      <c r="G545" s="437"/>
      <c r="H545" s="437"/>
      <c r="I545" s="841">
        <f>IF(D541=0,0,D541/D544)</f>
        <v>87932.616415384618</v>
      </c>
      <c r="J545" s="832"/>
      <c r="K545" s="832" t="s">
        <v>363</v>
      </c>
      <c r="L545" s="832"/>
      <c r="M545" s="832"/>
      <c r="N545" s="832"/>
      <c r="O545" s="4"/>
      <c r="P545" s="4"/>
    </row>
    <row r="546" spans="1:16" ht="51">
      <c r="A546" s="322"/>
      <c r="B546" s="322"/>
      <c r="C546" s="438" t="s">
        <v>272</v>
      </c>
      <c r="D546" s="844" t="s">
        <v>283</v>
      </c>
      <c r="E546" s="845" t="s">
        <v>284</v>
      </c>
      <c r="F546" s="844" t="s">
        <v>285</v>
      </c>
      <c r="G546" s="845" t="s">
        <v>356</v>
      </c>
      <c r="H546" s="846" t="s">
        <v>356</v>
      </c>
      <c r="I546" s="438" t="s">
        <v>295</v>
      </c>
      <c r="J546" s="442"/>
      <c r="K546" s="845" t="s">
        <v>365</v>
      </c>
      <c r="L546" s="847"/>
      <c r="M546" s="845" t="s">
        <v>365</v>
      </c>
      <c r="N546" s="847"/>
      <c r="O546" s="847"/>
      <c r="P546" s="4"/>
    </row>
    <row r="547" spans="1:16" ht="13.5" thickBot="1">
      <c r="C547" s="444" t="s">
        <v>177</v>
      </c>
      <c r="D547" s="445" t="s">
        <v>178</v>
      </c>
      <c r="E547" s="444" t="s">
        <v>37</v>
      </c>
      <c r="F547" s="445" t="s">
        <v>178</v>
      </c>
      <c r="G547" s="848" t="s">
        <v>298</v>
      </c>
      <c r="H547" s="849" t="s">
        <v>300</v>
      </c>
      <c r="I547" s="444" t="s">
        <v>389</v>
      </c>
      <c r="J547" s="448"/>
      <c r="K547" s="848" t="s">
        <v>287</v>
      </c>
      <c r="L547" s="850"/>
      <c r="M547" s="848" t="s">
        <v>300</v>
      </c>
      <c r="N547" s="850"/>
      <c r="O547" s="850"/>
      <c r="P547" s="4"/>
    </row>
    <row r="548" spans="1:16">
      <c r="C548" s="449">
        <f>IF(D542= "","-",D542)</f>
        <v>2016</v>
      </c>
      <c r="D548" s="412">
        <f>+D541</f>
        <v>3429372.0402000002</v>
      </c>
      <c r="E548" s="851">
        <f>+I545/12*(12-D543)</f>
        <v>7327.7180346153846</v>
      </c>
      <c r="F548" s="412">
        <f t="shared" ref="F548:F607" si="35">+D548-E548</f>
        <v>3422044.3221653849</v>
      </c>
      <c r="G548" s="852">
        <f>+$I$543*((D548+F548)/2)+E548</f>
        <v>390685.67044158722</v>
      </c>
      <c r="H548" s="853">
        <f>+$I$544*((D548+F548)/2)+E548</f>
        <v>390685.67044158722</v>
      </c>
      <c r="I548" s="453">
        <f t="shared" ref="I548:I607" si="36">+H548-G548</f>
        <v>0</v>
      </c>
      <c r="J548" s="453"/>
      <c r="K548" s="874">
        <v>8871246.9461574946</v>
      </c>
      <c r="L548" s="872"/>
      <c r="M548" s="875">
        <v>8871246.9461574946</v>
      </c>
      <c r="N548" s="455"/>
      <c r="O548" s="455"/>
      <c r="P548" s="4"/>
    </row>
    <row r="549" spans="1:16">
      <c r="C549" s="449">
        <f>IF(D542="","-",+C548+1)</f>
        <v>2017</v>
      </c>
      <c r="D549" s="856">
        <f t="shared" ref="D549:D607" si="37">F548</f>
        <v>3422044.3221653849</v>
      </c>
      <c r="E549" s="857">
        <f>IF(D549&gt;$I$545,$I$545,D549)</f>
        <v>87932.616415384618</v>
      </c>
      <c r="F549" s="856">
        <f t="shared" si="35"/>
        <v>3334111.7057500002</v>
      </c>
      <c r="G549" s="858">
        <f t="shared" ref="G549:G607" si="38">+$I$543*((D549+F549)/2)+E549</f>
        <v>465960.45825413114</v>
      </c>
      <c r="H549" s="859">
        <f t="shared" ref="H549:H607" si="39">+$I$544*((D549+F549)/2)+E549</f>
        <v>465960.45825413114</v>
      </c>
      <c r="I549" s="865">
        <f t="shared" si="36"/>
        <v>0</v>
      </c>
      <c r="J549" s="453"/>
      <c r="K549" s="566">
        <v>8889734.7657841165</v>
      </c>
      <c r="L549" s="459"/>
      <c r="M549" s="566">
        <v>8889734.7657841165</v>
      </c>
      <c r="N549" s="459"/>
      <c r="O549" s="459"/>
      <c r="P549" s="4"/>
    </row>
    <row r="550" spans="1:16">
      <c r="C550" s="878">
        <f>IF(D542="","-",+C549+1)</f>
        <v>2018</v>
      </c>
      <c r="D550" s="856">
        <f t="shared" si="37"/>
        <v>3334111.7057500002</v>
      </c>
      <c r="E550" s="857">
        <f t="shared" ref="E550:E607" si="40">IF(D550&gt;$I$545,$I$545,D550)</f>
        <v>87932.616415384618</v>
      </c>
      <c r="F550" s="856">
        <f t="shared" si="35"/>
        <v>3246179.0893346155</v>
      </c>
      <c r="G550" s="858">
        <f t="shared" si="38"/>
        <v>456120.25412817684</v>
      </c>
      <c r="H550" s="859">
        <f t="shared" si="39"/>
        <v>456120.25412817684</v>
      </c>
      <c r="I550" s="865">
        <f t="shared" si="36"/>
        <v>0</v>
      </c>
      <c r="J550" s="453"/>
      <c r="K550" s="566">
        <v>1820478</v>
      </c>
      <c r="L550" s="864"/>
      <c r="M550" s="566">
        <v>1820478</v>
      </c>
      <c r="N550" s="459"/>
      <c r="O550" s="459"/>
      <c r="P550" s="4"/>
    </row>
    <row r="551" spans="1:16">
      <c r="C551" s="449">
        <f>IF(D542="","-",+C550+1)</f>
        <v>2019</v>
      </c>
      <c r="D551" s="412">
        <f t="shared" si="37"/>
        <v>3246179.0893346155</v>
      </c>
      <c r="E551" s="456">
        <f t="shared" si="40"/>
        <v>87932.616415384618</v>
      </c>
      <c r="F551" s="412">
        <f t="shared" si="35"/>
        <v>3158246.4729192308</v>
      </c>
      <c r="G551" s="851">
        <f t="shared" si="38"/>
        <v>446280.05000222242</v>
      </c>
      <c r="H551" s="854">
        <f t="shared" si="39"/>
        <v>446280.05000222242</v>
      </c>
      <c r="I551" s="453">
        <f t="shared" si="36"/>
        <v>0</v>
      </c>
      <c r="J551" s="453"/>
      <c r="K551" s="566">
        <v>396848</v>
      </c>
      <c r="L551" s="459"/>
      <c r="M551" s="566">
        <v>396848</v>
      </c>
      <c r="N551" s="459"/>
      <c r="O551" s="459"/>
      <c r="P551" s="4"/>
    </row>
    <row r="552" spans="1:16">
      <c r="C552" s="449">
        <f>IF(D542="","-",+C551+1)</f>
        <v>2020</v>
      </c>
      <c r="D552" s="412">
        <f t="shared" si="37"/>
        <v>3158246.4729192308</v>
      </c>
      <c r="E552" s="456">
        <f t="shared" si="40"/>
        <v>87932.616415384618</v>
      </c>
      <c r="F552" s="412">
        <f t="shared" si="35"/>
        <v>3070313.8565038461</v>
      </c>
      <c r="G552" s="851">
        <f t="shared" si="38"/>
        <v>436439.84587626811</v>
      </c>
      <c r="H552" s="854">
        <f t="shared" si="39"/>
        <v>436439.84587626811</v>
      </c>
      <c r="I552" s="453">
        <f t="shared" si="36"/>
        <v>0</v>
      </c>
      <c r="J552" s="453"/>
      <c r="K552" s="566">
        <v>387035.1088908845</v>
      </c>
      <c r="L552" s="459"/>
      <c r="M552" s="566">
        <v>387035.1088908845</v>
      </c>
      <c r="N552" s="459"/>
      <c r="O552" s="459"/>
      <c r="P552" s="4"/>
    </row>
    <row r="553" spans="1:16">
      <c r="C553" s="449">
        <f>IF(D542="","-",+C552+1)</f>
        <v>2021</v>
      </c>
      <c r="D553" s="412">
        <f t="shared" si="37"/>
        <v>3070313.8565038461</v>
      </c>
      <c r="E553" s="456">
        <f t="shared" si="40"/>
        <v>87932.616415384618</v>
      </c>
      <c r="F553" s="412">
        <f t="shared" si="35"/>
        <v>2982381.2400884614</v>
      </c>
      <c r="G553" s="851">
        <f t="shared" si="38"/>
        <v>426599.64175031369</v>
      </c>
      <c r="H553" s="854">
        <f t="shared" si="39"/>
        <v>426599.64175031369</v>
      </c>
      <c r="I553" s="453">
        <f t="shared" si="36"/>
        <v>0</v>
      </c>
      <c r="J553" s="453"/>
      <c r="K553" s="566">
        <v>393734.6892223304</v>
      </c>
      <c r="L553" s="459"/>
      <c r="M553" s="566">
        <v>393734.6892223304</v>
      </c>
      <c r="N553" s="459"/>
      <c r="O553" s="459"/>
      <c r="P553" s="4"/>
    </row>
    <row r="554" spans="1:16">
      <c r="C554" s="449">
        <f>IF(D545="","-",+C553+1)</f>
        <v>2022</v>
      </c>
      <c r="D554" s="412">
        <f t="shared" si="37"/>
        <v>2982381.2400884614</v>
      </c>
      <c r="E554" s="456">
        <f t="shared" si="40"/>
        <v>87932.616415384618</v>
      </c>
      <c r="F554" s="412">
        <f t="shared" si="35"/>
        <v>2894448.6236730767</v>
      </c>
      <c r="G554" s="851">
        <f t="shared" si="38"/>
        <v>416759.43762435939</v>
      </c>
      <c r="H554" s="854">
        <f t="shared" si="39"/>
        <v>416759.43762435939</v>
      </c>
      <c r="I554" s="453">
        <f t="shared" si="36"/>
        <v>0</v>
      </c>
      <c r="J554" s="453"/>
      <c r="K554" s="566">
        <v>389204.51224864495</v>
      </c>
      <c r="L554" s="459"/>
      <c r="M554" s="566">
        <v>389204.51224864495</v>
      </c>
      <c r="N554" s="459"/>
      <c r="O554" s="459"/>
      <c r="P554" s="4"/>
    </row>
    <row r="555" spans="1:16">
      <c r="C555" s="449">
        <f>IF(D545="","-",+C554+1)</f>
        <v>2023</v>
      </c>
      <c r="D555" s="412">
        <f t="shared" si="37"/>
        <v>2894448.6236730767</v>
      </c>
      <c r="E555" s="456">
        <f t="shared" si="40"/>
        <v>87932.616415384618</v>
      </c>
      <c r="F555" s="412">
        <f t="shared" si="35"/>
        <v>2806516.0072576921</v>
      </c>
      <c r="G555" s="851">
        <f t="shared" si="38"/>
        <v>406919.23349840497</v>
      </c>
      <c r="H555" s="854">
        <f t="shared" si="39"/>
        <v>406919.23349840497</v>
      </c>
      <c r="I555" s="453">
        <f t="shared" si="36"/>
        <v>0</v>
      </c>
      <c r="J555" s="453"/>
      <c r="K555" s="566">
        <v>402834.34502748371</v>
      </c>
      <c r="L555" s="459"/>
      <c r="M555" s="566">
        <v>402834.34502748371</v>
      </c>
      <c r="N555" s="459"/>
      <c r="O555" s="459"/>
      <c r="P555" s="4"/>
    </row>
    <row r="556" spans="1:16">
      <c r="C556" s="449">
        <f>IF(D542="","-",+C555+1)</f>
        <v>2024</v>
      </c>
      <c r="D556" s="412">
        <f t="shared" si="37"/>
        <v>2806516.0072576921</v>
      </c>
      <c r="E556" s="456">
        <f t="shared" si="40"/>
        <v>87932.616415384618</v>
      </c>
      <c r="F556" s="412">
        <f t="shared" si="35"/>
        <v>2718583.3908423074</v>
      </c>
      <c r="G556" s="851">
        <f t="shared" si="38"/>
        <v>397079.02937245066</v>
      </c>
      <c r="H556" s="854">
        <f t="shared" si="39"/>
        <v>397079.02937245066</v>
      </c>
      <c r="I556" s="453">
        <f t="shared" si="36"/>
        <v>0</v>
      </c>
      <c r="J556" s="453"/>
      <c r="K556" s="566">
        <v>389518.48406694492</v>
      </c>
      <c r="L556" s="459"/>
      <c r="M556" s="566">
        <v>389518.48406694492</v>
      </c>
      <c r="N556" s="459"/>
      <c r="O556" s="459"/>
      <c r="P556" s="4"/>
    </row>
    <row r="557" spans="1:16">
      <c r="C557" s="449">
        <f>IF(D542="","-",+C556+1)</f>
        <v>2025</v>
      </c>
      <c r="D557" s="412">
        <f t="shared" si="37"/>
        <v>2718583.3908423074</v>
      </c>
      <c r="E557" s="456">
        <f t="shared" si="40"/>
        <v>87932.616415384618</v>
      </c>
      <c r="F557" s="412">
        <f t="shared" si="35"/>
        <v>2630650.7744269227</v>
      </c>
      <c r="G557" s="851">
        <f t="shared" si="38"/>
        <v>387238.82524649624</v>
      </c>
      <c r="H557" s="854">
        <f t="shared" si="39"/>
        <v>387238.82524649624</v>
      </c>
      <c r="I557" s="453">
        <f t="shared" si="36"/>
        <v>0</v>
      </c>
      <c r="J557" s="453"/>
      <c r="K557" s="566">
        <v>381980.78033029573</v>
      </c>
      <c r="L557" s="459"/>
      <c r="M557" s="566">
        <v>381980.78033029573</v>
      </c>
      <c r="N557" s="459"/>
      <c r="O557" s="459"/>
      <c r="P557" s="4"/>
    </row>
    <row r="558" spans="1:16">
      <c r="C558" s="855">
        <f>IF(D542="","-",+C557+1)</f>
        <v>2026</v>
      </c>
      <c r="D558" s="412">
        <f t="shared" si="37"/>
        <v>2630650.7744269227</v>
      </c>
      <c r="E558" s="456">
        <f t="shared" si="40"/>
        <v>87932.616415384618</v>
      </c>
      <c r="F558" s="412">
        <f t="shared" si="35"/>
        <v>2542718.158011538</v>
      </c>
      <c r="G558" s="851">
        <f t="shared" si="38"/>
        <v>377398.62112054194</v>
      </c>
      <c r="H558" s="854">
        <f t="shared" si="39"/>
        <v>377398.62112054194</v>
      </c>
      <c r="I558" s="453">
        <f t="shared" si="36"/>
        <v>0</v>
      </c>
      <c r="J558" s="453"/>
      <c r="K558" s="566"/>
      <c r="L558" s="459"/>
      <c r="M558" s="566"/>
      <c r="N558" s="459"/>
      <c r="O558" s="459"/>
      <c r="P558" s="4"/>
    </row>
    <row r="559" spans="1:16">
      <c r="C559" s="449">
        <f>IF(D542="","-",+C558+1)</f>
        <v>2027</v>
      </c>
      <c r="D559" s="412">
        <f t="shared" si="37"/>
        <v>2542718.158011538</v>
      </c>
      <c r="E559" s="456">
        <f t="shared" si="40"/>
        <v>87932.616415384618</v>
      </c>
      <c r="F559" s="412">
        <f t="shared" si="35"/>
        <v>2454785.5415961533</v>
      </c>
      <c r="G559" s="851">
        <f t="shared" si="38"/>
        <v>367558.41699458752</v>
      </c>
      <c r="H559" s="854">
        <f t="shared" si="39"/>
        <v>367558.41699458752</v>
      </c>
      <c r="I559" s="453">
        <f t="shared" si="36"/>
        <v>0</v>
      </c>
      <c r="J559" s="453"/>
      <c r="K559" s="566"/>
      <c r="L559" s="459"/>
      <c r="M559" s="566"/>
      <c r="N559" s="459"/>
      <c r="O559" s="459"/>
      <c r="P559" s="4"/>
    </row>
    <row r="560" spans="1:16">
      <c r="C560" s="449">
        <f>IF(D542="","-",+C559+1)</f>
        <v>2028</v>
      </c>
      <c r="D560" s="412">
        <f t="shared" si="37"/>
        <v>2454785.5415961533</v>
      </c>
      <c r="E560" s="456">
        <f t="shared" si="40"/>
        <v>87932.616415384618</v>
      </c>
      <c r="F560" s="412">
        <f t="shared" si="35"/>
        <v>2366852.9251807686</v>
      </c>
      <c r="G560" s="851">
        <f t="shared" si="38"/>
        <v>357718.21286863321</v>
      </c>
      <c r="H560" s="854">
        <f t="shared" si="39"/>
        <v>357718.21286863321</v>
      </c>
      <c r="I560" s="453">
        <f t="shared" si="36"/>
        <v>0</v>
      </c>
      <c r="J560" s="453"/>
      <c r="K560" s="566"/>
      <c r="L560" s="459"/>
      <c r="M560" s="566"/>
      <c r="N560" s="460"/>
      <c r="O560" s="459"/>
      <c r="P560" s="4"/>
    </row>
    <row r="561" spans="3:16">
      <c r="C561" s="449">
        <f>IF(D542="","-",+C560+1)</f>
        <v>2029</v>
      </c>
      <c r="D561" s="412">
        <f t="shared" si="37"/>
        <v>2366852.9251807686</v>
      </c>
      <c r="E561" s="456">
        <f t="shared" si="40"/>
        <v>87932.616415384618</v>
      </c>
      <c r="F561" s="412">
        <f t="shared" si="35"/>
        <v>2278920.3087653839</v>
      </c>
      <c r="G561" s="851">
        <f t="shared" si="38"/>
        <v>347878.00874267874</v>
      </c>
      <c r="H561" s="854">
        <f t="shared" si="39"/>
        <v>347878.00874267874</v>
      </c>
      <c r="I561" s="453">
        <f t="shared" si="36"/>
        <v>0</v>
      </c>
      <c r="J561" s="453"/>
      <c r="K561" s="566"/>
      <c r="L561" s="459"/>
      <c r="M561" s="566"/>
      <c r="N561" s="459"/>
      <c r="O561" s="459"/>
      <c r="P561" s="4"/>
    </row>
    <row r="562" spans="3:16">
      <c r="C562" s="449">
        <f>IF(D542="","-",+C561+1)</f>
        <v>2030</v>
      </c>
      <c r="D562" s="412">
        <f t="shared" si="37"/>
        <v>2278920.3087653839</v>
      </c>
      <c r="E562" s="456">
        <f t="shared" si="40"/>
        <v>87932.616415384618</v>
      </c>
      <c r="F562" s="412">
        <f t="shared" si="35"/>
        <v>2190987.6923499992</v>
      </c>
      <c r="G562" s="851">
        <f t="shared" si="38"/>
        <v>338037.80461672443</v>
      </c>
      <c r="H562" s="854">
        <f t="shared" si="39"/>
        <v>338037.80461672443</v>
      </c>
      <c r="I562" s="453">
        <f t="shared" si="36"/>
        <v>0</v>
      </c>
      <c r="J562" s="453"/>
      <c r="K562" s="566"/>
      <c r="L562" s="459"/>
      <c r="M562" s="566"/>
      <c r="N562" s="459"/>
      <c r="O562" s="459"/>
      <c r="P562" s="4"/>
    </row>
    <row r="563" spans="3:16">
      <c r="C563" s="449">
        <f>IF(D542="","-",+C562+1)</f>
        <v>2031</v>
      </c>
      <c r="D563" s="412">
        <f t="shared" si="37"/>
        <v>2190987.6923499992</v>
      </c>
      <c r="E563" s="456">
        <f t="shared" si="40"/>
        <v>87932.616415384618</v>
      </c>
      <c r="F563" s="412">
        <f t="shared" si="35"/>
        <v>2103055.0759346145</v>
      </c>
      <c r="G563" s="851">
        <f t="shared" si="38"/>
        <v>328197.60049077001</v>
      </c>
      <c r="H563" s="854">
        <f t="shared" si="39"/>
        <v>328197.60049077001</v>
      </c>
      <c r="I563" s="453">
        <f t="shared" si="36"/>
        <v>0</v>
      </c>
      <c r="J563" s="453"/>
      <c r="K563" s="566"/>
      <c r="L563" s="459"/>
      <c r="M563" s="566"/>
      <c r="N563" s="459"/>
      <c r="O563" s="459"/>
      <c r="P563" s="4"/>
    </row>
    <row r="564" spans="3:16">
      <c r="C564" s="449">
        <f>IF(D542="","-",+C563+1)</f>
        <v>2032</v>
      </c>
      <c r="D564" s="412">
        <f t="shared" si="37"/>
        <v>2103055.0759346145</v>
      </c>
      <c r="E564" s="456">
        <f t="shared" si="40"/>
        <v>87932.616415384618</v>
      </c>
      <c r="F564" s="412">
        <f t="shared" si="35"/>
        <v>2015122.4595192298</v>
      </c>
      <c r="G564" s="851">
        <f t="shared" si="38"/>
        <v>318357.39636481571</v>
      </c>
      <c r="H564" s="854">
        <f t="shared" si="39"/>
        <v>318357.39636481571</v>
      </c>
      <c r="I564" s="453">
        <f t="shared" si="36"/>
        <v>0</v>
      </c>
      <c r="J564" s="453"/>
      <c r="K564" s="566"/>
      <c r="L564" s="459"/>
      <c r="M564" s="566"/>
      <c r="N564" s="459"/>
      <c r="O564" s="459"/>
      <c r="P564" s="4"/>
    </row>
    <row r="565" spans="3:16">
      <c r="C565" s="449">
        <f>IF(D542="","-",+C564+1)</f>
        <v>2033</v>
      </c>
      <c r="D565" s="412">
        <f t="shared" si="37"/>
        <v>2015122.4595192298</v>
      </c>
      <c r="E565" s="456">
        <f t="shared" si="40"/>
        <v>87932.616415384618</v>
      </c>
      <c r="F565" s="412">
        <f t="shared" si="35"/>
        <v>1927189.8431038451</v>
      </c>
      <c r="G565" s="851">
        <f t="shared" si="38"/>
        <v>308517.19223886135</v>
      </c>
      <c r="H565" s="854">
        <f t="shared" si="39"/>
        <v>308517.19223886135</v>
      </c>
      <c r="I565" s="453">
        <f t="shared" si="36"/>
        <v>0</v>
      </c>
      <c r="J565" s="453"/>
      <c r="K565" s="566"/>
      <c r="L565" s="459"/>
      <c r="M565" s="566"/>
      <c r="N565" s="459"/>
      <c r="O565" s="459"/>
      <c r="P565" s="4"/>
    </row>
    <row r="566" spans="3:16">
      <c r="C566" s="449">
        <f>IF(D542="","-",+C565+1)</f>
        <v>2034</v>
      </c>
      <c r="D566" s="412">
        <f t="shared" si="37"/>
        <v>1927189.8431038451</v>
      </c>
      <c r="E566" s="456">
        <f t="shared" si="40"/>
        <v>87932.616415384618</v>
      </c>
      <c r="F566" s="412">
        <f t="shared" si="35"/>
        <v>1839257.2266884604</v>
      </c>
      <c r="G566" s="851">
        <f t="shared" si="38"/>
        <v>298676.98811290698</v>
      </c>
      <c r="H566" s="854">
        <f t="shared" si="39"/>
        <v>298676.98811290698</v>
      </c>
      <c r="I566" s="453">
        <f t="shared" si="36"/>
        <v>0</v>
      </c>
      <c r="J566" s="453"/>
      <c r="K566" s="566"/>
      <c r="L566" s="459"/>
      <c r="M566" s="566"/>
      <c r="N566" s="459"/>
      <c r="O566" s="459"/>
      <c r="P566" s="4"/>
    </row>
    <row r="567" spans="3:16">
      <c r="C567" s="449">
        <f>IF(D542="","-",+C566+1)</f>
        <v>2035</v>
      </c>
      <c r="D567" s="412">
        <f t="shared" si="37"/>
        <v>1839257.2266884604</v>
      </c>
      <c r="E567" s="456">
        <f t="shared" si="40"/>
        <v>87932.616415384618</v>
      </c>
      <c r="F567" s="412">
        <f t="shared" si="35"/>
        <v>1751324.6102730758</v>
      </c>
      <c r="G567" s="851">
        <f t="shared" si="38"/>
        <v>288836.78398695262</v>
      </c>
      <c r="H567" s="854">
        <f t="shared" si="39"/>
        <v>288836.78398695262</v>
      </c>
      <c r="I567" s="453">
        <f t="shared" si="36"/>
        <v>0</v>
      </c>
      <c r="J567" s="453"/>
      <c r="K567" s="566"/>
      <c r="L567" s="459"/>
      <c r="M567" s="566"/>
      <c r="N567" s="459"/>
      <c r="O567" s="459"/>
      <c r="P567" s="4"/>
    </row>
    <row r="568" spans="3:16">
      <c r="C568" s="449">
        <f>IF(D542="","-",+C567+1)</f>
        <v>2036</v>
      </c>
      <c r="D568" s="412">
        <f t="shared" si="37"/>
        <v>1751324.6102730758</v>
      </c>
      <c r="E568" s="456">
        <f t="shared" si="40"/>
        <v>87932.616415384618</v>
      </c>
      <c r="F568" s="412">
        <f t="shared" si="35"/>
        <v>1663391.9938576911</v>
      </c>
      <c r="G568" s="851">
        <f t="shared" si="38"/>
        <v>278996.57986099826</v>
      </c>
      <c r="H568" s="854">
        <f t="shared" si="39"/>
        <v>278996.57986099826</v>
      </c>
      <c r="I568" s="453">
        <f t="shared" si="36"/>
        <v>0</v>
      </c>
      <c r="J568" s="453"/>
      <c r="K568" s="566"/>
      <c r="L568" s="459"/>
      <c r="M568" s="566"/>
      <c r="N568" s="459"/>
      <c r="O568" s="459"/>
      <c r="P568" s="4"/>
    </row>
    <row r="569" spans="3:16">
      <c r="C569" s="449">
        <f>IF(D542="","-",+C568+1)</f>
        <v>2037</v>
      </c>
      <c r="D569" s="412">
        <f t="shared" si="37"/>
        <v>1663391.9938576911</v>
      </c>
      <c r="E569" s="456">
        <f t="shared" si="40"/>
        <v>87932.616415384618</v>
      </c>
      <c r="F569" s="412">
        <f t="shared" si="35"/>
        <v>1575459.3774423064</v>
      </c>
      <c r="G569" s="851">
        <f t="shared" si="38"/>
        <v>269156.3757350439</v>
      </c>
      <c r="H569" s="854">
        <f t="shared" si="39"/>
        <v>269156.3757350439</v>
      </c>
      <c r="I569" s="453">
        <f t="shared" si="36"/>
        <v>0</v>
      </c>
      <c r="J569" s="453"/>
      <c r="K569" s="566"/>
      <c r="L569" s="459"/>
      <c r="M569" s="566"/>
      <c r="N569" s="459"/>
      <c r="O569" s="459"/>
      <c r="P569" s="4"/>
    </row>
    <row r="570" spans="3:16">
      <c r="C570" s="449">
        <f>IF(D542="","-",+C569+1)</f>
        <v>2038</v>
      </c>
      <c r="D570" s="412">
        <f t="shared" si="37"/>
        <v>1575459.3774423064</v>
      </c>
      <c r="E570" s="456">
        <f t="shared" si="40"/>
        <v>87932.616415384618</v>
      </c>
      <c r="F570" s="412">
        <f t="shared" si="35"/>
        <v>1487526.7610269217</v>
      </c>
      <c r="G570" s="851">
        <f t="shared" si="38"/>
        <v>259316.17160908948</v>
      </c>
      <c r="H570" s="854">
        <f t="shared" si="39"/>
        <v>259316.17160908948</v>
      </c>
      <c r="I570" s="453">
        <f t="shared" si="36"/>
        <v>0</v>
      </c>
      <c r="J570" s="453"/>
      <c r="K570" s="566"/>
      <c r="L570" s="459"/>
      <c r="M570" s="566"/>
      <c r="N570" s="459"/>
      <c r="O570" s="459"/>
      <c r="P570" s="4"/>
    </row>
    <row r="571" spans="3:16">
      <c r="C571" s="449">
        <f>IF(D542="","-",+C570+1)</f>
        <v>2039</v>
      </c>
      <c r="D571" s="412">
        <f t="shared" si="37"/>
        <v>1487526.7610269217</v>
      </c>
      <c r="E571" s="456">
        <f t="shared" si="40"/>
        <v>87932.616415384618</v>
      </c>
      <c r="F571" s="412">
        <f t="shared" si="35"/>
        <v>1399594.144611537</v>
      </c>
      <c r="G571" s="851">
        <f t="shared" si="38"/>
        <v>249475.96748313511</v>
      </c>
      <c r="H571" s="854">
        <f t="shared" si="39"/>
        <v>249475.96748313511</v>
      </c>
      <c r="I571" s="453">
        <f t="shared" si="36"/>
        <v>0</v>
      </c>
      <c r="J571" s="453"/>
      <c r="K571" s="566"/>
      <c r="L571" s="459"/>
      <c r="M571" s="566"/>
      <c r="N571" s="459"/>
      <c r="O571" s="459"/>
      <c r="P571" s="4"/>
    </row>
    <row r="572" spans="3:16">
      <c r="C572" s="449">
        <f>IF(D542="","-",+C571+1)</f>
        <v>2040</v>
      </c>
      <c r="D572" s="412">
        <f t="shared" si="37"/>
        <v>1399594.144611537</v>
      </c>
      <c r="E572" s="456">
        <f t="shared" si="40"/>
        <v>87932.616415384618</v>
      </c>
      <c r="F572" s="412">
        <f t="shared" si="35"/>
        <v>1311661.5281961523</v>
      </c>
      <c r="G572" s="851">
        <f t="shared" si="38"/>
        <v>239635.76335718075</v>
      </c>
      <c r="H572" s="854">
        <f t="shared" si="39"/>
        <v>239635.76335718075</v>
      </c>
      <c r="I572" s="453">
        <f t="shared" si="36"/>
        <v>0</v>
      </c>
      <c r="J572" s="453"/>
      <c r="K572" s="566"/>
      <c r="L572" s="459"/>
      <c r="M572" s="566"/>
      <c r="N572" s="459"/>
      <c r="O572" s="459"/>
      <c r="P572" s="4"/>
    </row>
    <row r="573" spans="3:16">
      <c r="C573" s="449">
        <f>IF(D542="","-",+C572+1)</f>
        <v>2041</v>
      </c>
      <c r="D573" s="412">
        <f t="shared" si="37"/>
        <v>1311661.5281961523</v>
      </c>
      <c r="E573" s="456">
        <f t="shared" si="40"/>
        <v>87932.616415384618</v>
      </c>
      <c r="F573" s="412">
        <f t="shared" si="35"/>
        <v>1223728.9117807676</v>
      </c>
      <c r="G573" s="851">
        <f t="shared" si="38"/>
        <v>229795.55923122639</v>
      </c>
      <c r="H573" s="854">
        <f t="shared" si="39"/>
        <v>229795.55923122639</v>
      </c>
      <c r="I573" s="453">
        <f t="shared" si="36"/>
        <v>0</v>
      </c>
      <c r="J573" s="453"/>
      <c r="K573" s="566"/>
      <c r="L573" s="459"/>
      <c r="M573" s="566"/>
      <c r="N573" s="459"/>
      <c r="O573" s="459"/>
      <c r="P573" s="4"/>
    </row>
    <row r="574" spans="3:16">
      <c r="C574" s="449">
        <f>IF(D542="","-",+C573+1)</f>
        <v>2042</v>
      </c>
      <c r="D574" s="412">
        <f t="shared" si="37"/>
        <v>1223728.9117807676</v>
      </c>
      <c r="E574" s="456">
        <f t="shared" si="40"/>
        <v>87932.616415384618</v>
      </c>
      <c r="F574" s="412">
        <f t="shared" si="35"/>
        <v>1135796.2953653829</v>
      </c>
      <c r="G574" s="851">
        <f t="shared" si="38"/>
        <v>219955.35510527203</v>
      </c>
      <c r="H574" s="854">
        <f t="shared" si="39"/>
        <v>219955.35510527203</v>
      </c>
      <c r="I574" s="453">
        <f t="shared" si="36"/>
        <v>0</v>
      </c>
      <c r="J574" s="453"/>
      <c r="K574" s="566"/>
      <c r="L574" s="459"/>
      <c r="M574" s="566"/>
      <c r="N574" s="459"/>
      <c r="O574" s="459"/>
      <c r="P574" s="4"/>
    </row>
    <row r="575" spans="3:16">
      <c r="C575" s="449">
        <f>IF(D542="","-",+C574+1)</f>
        <v>2043</v>
      </c>
      <c r="D575" s="412">
        <f t="shared" si="37"/>
        <v>1135796.2953653829</v>
      </c>
      <c r="E575" s="456">
        <f t="shared" si="40"/>
        <v>87932.616415384618</v>
      </c>
      <c r="F575" s="412">
        <f t="shared" si="35"/>
        <v>1047863.6789499983</v>
      </c>
      <c r="G575" s="851">
        <f t="shared" si="38"/>
        <v>210115.15097931767</v>
      </c>
      <c r="H575" s="854">
        <f t="shared" si="39"/>
        <v>210115.15097931767</v>
      </c>
      <c r="I575" s="453">
        <f t="shared" si="36"/>
        <v>0</v>
      </c>
      <c r="J575" s="453"/>
      <c r="K575" s="566"/>
      <c r="L575" s="459"/>
      <c r="M575" s="566"/>
      <c r="N575" s="459"/>
      <c r="O575" s="459"/>
      <c r="P575" s="4"/>
    </row>
    <row r="576" spans="3:16">
      <c r="C576" s="449">
        <f>IF(D542="","-",+C575+1)</f>
        <v>2044</v>
      </c>
      <c r="D576" s="412">
        <f t="shared" si="37"/>
        <v>1047863.6789499983</v>
      </c>
      <c r="E576" s="456">
        <f t="shared" si="40"/>
        <v>87932.616415384618</v>
      </c>
      <c r="F576" s="412">
        <f t="shared" si="35"/>
        <v>959931.06253461377</v>
      </c>
      <c r="G576" s="860">
        <f t="shared" si="38"/>
        <v>200274.94685336336</v>
      </c>
      <c r="H576" s="854">
        <f t="shared" si="39"/>
        <v>200274.94685336336</v>
      </c>
      <c r="I576" s="453">
        <f t="shared" si="36"/>
        <v>0</v>
      </c>
      <c r="J576" s="453"/>
      <c r="K576" s="566"/>
      <c r="L576" s="459"/>
      <c r="M576" s="566"/>
      <c r="N576" s="459"/>
      <c r="O576" s="459"/>
      <c r="P576" s="4"/>
    </row>
    <row r="577" spans="3:16">
      <c r="C577" s="449">
        <f>IF(D542="","-",+C576+1)</f>
        <v>2045</v>
      </c>
      <c r="D577" s="412">
        <f t="shared" si="37"/>
        <v>959931.06253461377</v>
      </c>
      <c r="E577" s="456">
        <f t="shared" si="40"/>
        <v>87932.616415384618</v>
      </c>
      <c r="F577" s="412">
        <f t="shared" si="35"/>
        <v>871998.44611922919</v>
      </c>
      <c r="G577" s="851">
        <f t="shared" si="38"/>
        <v>190434.74272740897</v>
      </c>
      <c r="H577" s="854">
        <f t="shared" si="39"/>
        <v>190434.74272740897</v>
      </c>
      <c r="I577" s="453">
        <f t="shared" si="36"/>
        <v>0</v>
      </c>
      <c r="J577" s="453"/>
      <c r="K577" s="566"/>
      <c r="L577" s="459"/>
      <c r="M577" s="566"/>
      <c r="N577" s="459"/>
      <c r="O577" s="459"/>
      <c r="P577" s="4"/>
    </row>
    <row r="578" spans="3:16">
      <c r="C578" s="449">
        <f>IF(D542="","-",+C577+1)</f>
        <v>2046</v>
      </c>
      <c r="D578" s="412">
        <f t="shared" si="37"/>
        <v>871998.44611922919</v>
      </c>
      <c r="E578" s="456">
        <f t="shared" si="40"/>
        <v>87932.616415384618</v>
      </c>
      <c r="F578" s="412">
        <f t="shared" si="35"/>
        <v>784065.82970384462</v>
      </c>
      <c r="G578" s="851">
        <f t="shared" si="38"/>
        <v>180594.53860145464</v>
      </c>
      <c r="H578" s="854">
        <f t="shared" si="39"/>
        <v>180594.53860145464</v>
      </c>
      <c r="I578" s="453">
        <f t="shared" si="36"/>
        <v>0</v>
      </c>
      <c r="J578" s="453"/>
      <c r="K578" s="566"/>
      <c r="L578" s="459"/>
      <c r="M578" s="566"/>
      <c r="N578" s="459"/>
      <c r="O578" s="459"/>
      <c r="P578" s="4"/>
    </row>
    <row r="579" spans="3:16">
      <c r="C579" s="449">
        <f>IF(D542="","-",+C578+1)</f>
        <v>2047</v>
      </c>
      <c r="D579" s="412">
        <f t="shared" si="37"/>
        <v>784065.82970384462</v>
      </c>
      <c r="E579" s="456">
        <f t="shared" si="40"/>
        <v>87932.616415384618</v>
      </c>
      <c r="F579" s="412">
        <f t="shared" si="35"/>
        <v>696133.21328846004</v>
      </c>
      <c r="G579" s="851">
        <f t="shared" si="38"/>
        <v>170754.33447550028</v>
      </c>
      <c r="H579" s="854">
        <f t="shared" si="39"/>
        <v>170754.33447550028</v>
      </c>
      <c r="I579" s="453">
        <f t="shared" si="36"/>
        <v>0</v>
      </c>
      <c r="J579" s="453"/>
      <c r="K579" s="566"/>
      <c r="L579" s="459"/>
      <c r="M579" s="566"/>
      <c r="N579" s="459"/>
      <c r="O579" s="459"/>
      <c r="P579" s="4"/>
    </row>
    <row r="580" spans="3:16">
      <c r="C580" s="449">
        <f>IF(D542="","-",+C579+1)</f>
        <v>2048</v>
      </c>
      <c r="D580" s="412">
        <f t="shared" si="37"/>
        <v>696133.21328846004</v>
      </c>
      <c r="E580" s="456">
        <f t="shared" si="40"/>
        <v>87932.616415384618</v>
      </c>
      <c r="F580" s="412">
        <f t="shared" si="35"/>
        <v>608200.59687307547</v>
      </c>
      <c r="G580" s="851">
        <f t="shared" si="38"/>
        <v>160914.13034954591</v>
      </c>
      <c r="H580" s="854">
        <f t="shared" si="39"/>
        <v>160914.13034954591</v>
      </c>
      <c r="I580" s="453">
        <f t="shared" si="36"/>
        <v>0</v>
      </c>
      <c r="J580" s="453"/>
      <c r="K580" s="566"/>
      <c r="L580" s="459"/>
      <c r="M580" s="566"/>
      <c r="N580" s="459"/>
      <c r="O580" s="459"/>
      <c r="P580" s="4"/>
    </row>
    <row r="581" spans="3:16">
      <c r="C581" s="449">
        <f>IF(D542="","-",+C580+1)</f>
        <v>2049</v>
      </c>
      <c r="D581" s="412">
        <f t="shared" si="37"/>
        <v>608200.59687307547</v>
      </c>
      <c r="E581" s="456">
        <f t="shared" si="40"/>
        <v>87932.616415384618</v>
      </c>
      <c r="F581" s="412">
        <f t="shared" si="35"/>
        <v>520267.98045769084</v>
      </c>
      <c r="G581" s="851">
        <f t="shared" si="38"/>
        <v>151073.92622359158</v>
      </c>
      <c r="H581" s="854">
        <f t="shared" si="39"/>
        <v>151073.92622359158</v>
      </c>
      <c r="I581" s="453">
        <f t="shared" si="36"/>
        <v>0</v>
      </c>
      <c r="J581" s="453"/>
      <c r="K581" s="566"/>
      <c r="L581" s="459"/>
      <c r="M581" s="566"/>
      <c r="N581" s="459"/>
      <c r="O581" s="459"/>
      <c r="P581" s="4"/>
    </row>
    <row r="582" spans="3:16">
      <c r="C582" s="449">
        <f>IF(D542="","-",+C581+1)</f>
        <v>2050</v>
      </c>
      <c r="D582" s="412">
        <f t="shared" si="37"/>
        <v>520267.98045769084</v>
      </c>
      <c r="E582" s="456">
        <f t="shared" si="40"/>
        <v>87932.616415384618</v>
      </c>
      <c r="F582" s="412">
        <f t="shared" si="35"/>
        <v>432335.3640423062</v>
      </c>
      <c r="G582" s="851">
        <f t="shared" si="38"/>
        <v>141233.72209763722</v>
      </c>
      <c r="H582" s="854">
        <f t="shared" si="39"/>
        <v>141233.72209763722</v>
      </c>
      <c r="I582" s="453">
        <f t="shared" si="36"/>
        <v>0</v>
      </c>
      <c r="J582" s="453"/>
      <c r="K582" s="566"/>
      <c r="L582" s="459"/>
      <c r="M582" s="566"/>
      <c r="N582" s="459"/>
      <c r="O582" s="459"/>
      <c r="P582" s="4"/>
    </row>
    <row r="583" spans="3:16">
      <c r="C583" s="449">
        <f>IF(D542="","-",+C582+1)</f>
        <v>2051</v>
      </c>
      <c r="D583" s="412">
        <f t="shared" si="37"/>
        <v>432335.3640423062</v>
      </c>
      <c r="E583" s="456">
        <f t="shared" si="40"/>
        <v>87932.616415384618</v>
      </c>
      <c r="F583" s="412">
        <f t="shared" si="35"/>
        <v>344402.74762692157</v>
      </c>
      <c r="G583" s="851">
        <f t="shared" si="38"/>
        <v>131393.51797168286</v>
      </c>
      <c r="H583" s="854">
        <f t="shared" si="39"/>
        <v>131393.51797168286</v>
      </c>
      <c r="I583" s="453">
        <f t="shared" si="36"/>
        <v>0</v>
      </c>
      <c r="J583" s="453"/>
      <c r="K583" s="566"/>
      <c r="L583" s="459"/>
      <c r="M583" s="566"/>
      <c r="N583" s="459"/>
      <c r="O583" s="459"/>
      <c r="P583" s="4"/>
    </row>
    <row r="584" spans="3:16">
      <c r="C584" s="449">
        <f>IF(D542="","-",+C583+1)</f>
        <v>2052</v>
      </c>
      <c r="D584" s="412">
        <f t="shared" si="37"/>
        <v>344402.74762692157</v>
      </c>
      <c r="E584" s="456">
        <f t="shared" si="40"/>
        <v>87932.616415384618</v>
      </c>
      <c r="F584" s="412">
        <f t="shared" si="35"/>
        <v>256470.13121153694</v>
      </c>
      <c r="G584" s="851">
        <f t="shared" si="38"/>
        <v>121553.31384572849</v>
      </c>
      <c r="H584" s="854">
        <f t="shared" si="39"/>
        <v>121553.31384572849</v>
      </c>
      <c r="I584" s="453">
        <f t="shared" si="36"/>
        <v>0</v>
      </c>
      <c r="J584" s="453"/>
      <c r="K584" s="566"/>
      <c r="L584" s="459"/>
      <c r="M584" s="566"/>
      <c r="N584" s="459"/>
      <c r="O584" s="459"/>
      <c r="P584" s="4"/>
    </row>
    <row r="585" spans="3:16">
      <c r="C585" s="449">
        <f>IF(D542="","-",+C584+1)</f>
        <v>2053</v>
      </c>
      <c r="D585" s="412">
        <f t="shared" si="37"/>
        <v>256470.13121153694</v>
      </c>
      <c r="E585" s="456">
        <f t="shared" si="40"/>
        <v>87932.616415384618</v>
      </c>
      <c r="F585" s="412">
        <f t="shared" si="35"/>
        <v>168537.5147961523</v>
      </c>
      <c r="G585" s="851">
        <f t="shared" si="38"/>
        <v>111713.10971977413</v>
      </c>
      <c r="H585" s="854">
        <f t="shared" si="39"/>
        <v>111713.10971977413</v>
      </c>
      <c r="I585" s="453">
        <f t="shared" si="36"/>
        <v>0</v>
      </c>
      <c r="J585" s="453"/>
      <c r="K585" s="566"/>
      <c r="L585" s="459"/>
      <c r="M585" s="566"/>
      <c r="N585" s="459"/>
      <c r="O585" s="459"/>
      <c r="P585" s="4"/>
    </row>
    <row r="586" spans="3:16">
      <c r="C586" s="449">
        <f>IF(D542="","-",+C585+1)</f>
        <v>2054</v>
      </c>
      <c r="D586" s="412">
        <f t="shared" si="37"/>
        <v>168537.5147961523</v>
      </c>
      <c r="E586" s="456">
        <f t="shared" si="40"/>
        <v>87932.616415384618</v>
      </c>
      <c r="F586" s="412">
        <f t="shared" si="35"/>
        <v>80604.898380767685</v>
      </c>
      <c r="G586" s="851">
        <f t="shared" si="38"/>
        <v>101872.90559381979</v>
      </c>
      <c r="H586" s="854">
        <f t="shared" si="39"/>
        <v>101872.90559381979</v>
      </c>
      <c r="I586" s="453">
        <f t="shared" si="36"/>
        <v>0</v>
      </c>
      <c r="J586" s="453"/>
      <c r="K586" s="566"/>
      <c r="L586" s="459"/>
      <c r="M586" s="566"/>
      <c r="N586" s="459"/>
      <c r="O586" s="459"/>
      <c r="P586" s="4"/>
    </row>
    <row r="587" spans="3:16">
      <c r="C587" s="449">
        <f>IF(D542="","-",+C586+1)</f>
        <v>2055</v>
      </c>
      <c r="D587" s="412">
        <f t="shared" si="37"/>
        <v>80604.898380767685</v>
      </c>
      <c r="E587" s="456">
        <f t="shared" si="40"/>
        <v>80604.898380767685</v>
      </c>
      <c r="F587" s="412">
        <f t="shared" si="35"/>
        <v>0</v>
      </c>
      <c r="G587" s="851">
        <f t="shared" si="38"/>
        <v>85114.991938496678</v>
      </c>
      <c r="H587" s="854">
        <f t="shared" si="39"/>
        <v>85114.991938496678</v>
      </c>
      <c r="I587" s="453">
        <f t="shared" si="36"/>
        <v>0</v>
      </c>
      <c r="J587" s="453"/>
      <c r="K587" s="566"/>
      <c r="L587" s="459"/>
      <c r="M587" s="566"/>
      <c r="N587" s="459"/>
      <c r="O587" s="459"/>
      <c r="P587" s="4"/>
    </row>
    <row r="588" spans="3:16">
      <c r="C588" s="449">
        <f>IF(D542="","-",+C587+1)</f>
        <v>2056</v>
      </c>
      <c r="D588" s="412">
        <f t="shared" si="37"/>
        <v>0</v>
      </c>
      <c r="E588" s="456">
        <f t="shared" si="40"/>
        <v>0</v>
      </c>
      <c r="F588" s="412">
        <f t="shared" si="35"/>
        <v>0</v>
      </c>
      <c r="G588" s="851">
        <f t="shared" si="38"/>
        <v>0</v>
      </c>
      <c r="H588" s="854">
        <f t="shared" si="39"/>
        <v>0</v>
      </c>
      <c r="I588" s="453">
        <f t="shared" si="36"/>
        <v>0</v>
      </c>
      <c r="J588" s="453"/>
      <c r="K588" s="566"/>
      <c r="L588" s="459"/>
      <c r="M588" s="566"/>
      <c r="N588" s="459"/>
      <c r="O588" s="459"/>
      <c r="P588" s="4"/>
    </row>
    <row r="589" spans="3:16">
      <c r="C589" s="449">
        <f>IF(D542="","-",+C588+1)</f>
        <v>2057</v>
      </c>
      <c r="D589" s="412">
        <f t="shared" si="37"/>
        <v>0</v>
      </c>
      <c r="E589" s="456">
        <f t="shared" si="40"/>
        <v>0</v>
      </c>
      <c r="F589" s="412">
        <f t="shared" si="35"/>
        <v>0</v>
      </c>
      <c r="G589" s="851">
        <f t="shared" si="38"/>
        <v>0</v>
      </c>
      <c r="H589" s="854">
        <f t="shared" si="39"/>
        <v>0</v>
      </c>
      <c r="I589" s="453">
        <f t="shared" si="36"/>
        <v>0</v>
      </c>
      <c r="J589" s="453"/>
      <c r="K589" s="566"/>
      <c r="L589" s="459"/>
      <c r="M589" s="566"/>
      <c r="N589" s="459"/>
      <c r="O589" s="459"/>
      <c r="P589" s="4"/>
    </row>
    <row r="590" spans="3:16">
      <c r="C590" s="449">
        <f>IF(D542="","-",+C589+1)</f>
        <v>2058</v>
      </c>
      <c r="D590" s="412">
        <f t="shared" si="37"/>
        <v>0</v>
      </c>
      <c r="E590" s="456">
        <f t="shared" si="40"/>
        <v>0</v>
      </c>
      <c r="F590" s="412">
        <f t="shared" si="35"/>
        <v>0</v>
      </c>
      <c r="G590" s="851">
        <f t="shared" si="38"/>
        <v>0</v>
      </c>
      <c r="H590" s="854">
        <f t="shared" si="39"/>
        <v>0</v>
      </c>
      <c r="I590" s="453">
        <f t="shared" si="36"/>
        <v>0</v>
      </c>
      <c r="J590" s="453"/>
      <c r="K590" s="566"/>
      <c r="L590" s="459"/>
      <c r="M590" s="566"/>
      <c r="N590" s="459"/>
      <c r="O590" s="459"/>
      <c r="P590" s="4"/>
    </row>
    <row r="591" spans="3:16">
      <c r="C591" s="449">
        <f>IF(D542="","-",+C590+1)</f>
        <v>2059</v>
      </c>
      <c r="D591" s="412">
        <f t="shared" si="37"/>
        <v>0</v>
      </c>
      <c r="E591" s="456">
        <f t="shared" si="40"/>
        <v>0</v>
      </c>
      <c r="F591" s="412">
        <f t="shared" si="35"/>
        <v>0</v>
      </c>
      <c r="G591" s="851">
        <f t="shared" si="38"/>
        <v>0</v>
      </c>
      <c r="H591" s="854">
        <f t="shared" si="39"/>
        <v>0</v>
      </c>
      <c r="I591" s="453">
        <f t="shared" si="36"/>
        <v>0</v>
      </c>
      <c r="J591" s="453"/>
      <c r="K591" s="566"/>
      <c r="L591" s="459"/>
      <c r="M591" s="566"/>
      <c r="N591" s="459"/>
      <c r="O591" s="459"/>
      <c r="P591" s="4"/>
    </row>
    <row r="592" spans="3:16">
      <c r="C592" s="449">
        <f>IF(D542="","-",+C591+1)</f>
        <v>2060</v>
      </c>
      <c r="D592" s="412">
        <f t="shared" si="37"/>
        <v>0</v>
      </c>
      <c r="E592" s="456">
        <f t="shared" si="40"/>
        <v>0</v>
      </c>
      <c r="F592" s="412">
        <f t="shared" si="35"/>
        <v>0</v>
      </c>
      <c r="G592" s="851">
        <f t="shared" si="38"/>
        <v>0</v>
      </c>
      <c r="H592" s="854">
        <f t="shared" si="39"/>
        <v>0</v>
      </c>
      <c r="I592" s="453">
        <f t="shared" si="36"/>
        <v>0</v>
      </c>
      <c r="J592" s="453"/>
      <c r="K592" s="566"/>
      <c r="L592" s="459"/>
      <c r="M592" s="566"/>
      <c r="N592" s="459"/>
      <c r="O592" s="459"/>
      <c r="P592" s="4"/>
    </row>
    <row r="593" spans="3:16">
      <c r="C593" s="449">
        <f>IF(D542="","-",+C592+1)</f>
        <v>2061</v>
      </c>
      <c r="D593" s="412">
        <f t="shared" si="37"/>
        <v>0</v>
      </c>
      <c r="E593" s="456">
        <f t="shared" si="40"/>
        <v>0</v>
      </c>
      <c r="F593" s="412">
        <f t="shared" si="35"/>
        <v>0</v>
      </c>
      <c r="G593" s="851">
        <f t="shared" si="38"/>
        <v>0</v>
      </c>
      <c r="H593" s="854">
        <f t="shared" si="39"/>
        <v>0</v>
      </c>
      <c r="I593" s="453">
        <f t="shared" si="36"/>
        <v>0</v>
      </c>
      <c r="J593" s="453"/>
      <c r="K593" s="566"/>
      <c r="L593" s="459"/>
      <c r="M593" s="566"/>
      <c r="N593" s="459"/>
      <c r="O593" s="459"/>
      <c r="P593" s="4"/>
    </row>
    <row r="594" spans="3:16">
      <c r="C594" s="449">
        <f>IF(D542="","-",+C593+1)</f>
        <v>2062</v>
      </c>
      <c r="D594" s="412">
        <f t="shared" si="37"/>
        <v>0</v>
      </c>
      <c r="E594" s="456">
        <f t="shared" si="40"/>
        <v>0</v>
      </c>
      <c r="F594" s="412">
        <f t="shared" si="35"/>
        <v>0</v>
      </c>
      <c r="G594" s="851">
        <f t="shared" si="38"/>
        <v>0</v>
      </c>
      <c r="H594" s="854">
        <f t="shared" si="39"/>
        <v>0</v>
      </c>
      <c r="I594" s="453">
        <f t="shared" si="36"/>
        <v>0</v>
      </c>
      <c r="J594" s="453"/>
      <c r="K594" s="566"/>
      <c r="L594" s="459"/>
      <c r="M594" s="566"/>
      <c r="N594" s="459"/>
      <c r="O594" s="459"/>
      <c r="P594" s="4"/>
    </row>
    <row r="595" spans="3:16">
      <c r="C595" s="449">
        <f>IF(D542="","-",+C594+1)</f>
        <v>2063</v>
      </c>
      <c r="D595" s="412">
        <f t="shared" si="37"/>
        <v>0</v>
      </c>
      <c r="E595" s="456">
        <f t="shared" si="40"/>
        <v>0</v>
      </c>
      <c r="F595" s="412">
        <f t="shared" si="35"/>
        <v>0</v>
      </c>
      <c r="G595" s="851">
        <f t="shared" si="38"/>
        <v>0</v>
      </c>
      <c r="H595" s="854">
        <f t="shared" si="39"/>
        <v>0</v>
      </c>
      <c r="I595" s="453">
        <f t="shared" si="36"/>
        <v>0</v>
      </c>
      <c r="J595" s="453"/>
      <c r="K595" s="566"/>
      <c r="L595" s="459"/>
      <c r="M595" s="566"/>
      <c r="N595" s="459"/>
      <c r="O595" s="459"/>
      <c r="P595" s="4"/>
    </row>
    <row r="596" spans="3:16">
      <c r="C596" s="449">
        <f>IF(D542="","-",+C595+1)</f>
        <v>2064</v>
      </c>
      <c r="D596" s="412">
        <f t="shared" si="37"/>
        <v>0</v>
      </c>
      <c r="E596" s="456">
        <f t="shared" si="40"/>
        <v>0</v>
      </c>
      <c r="F596" s="412">
        <f t="shared" si="35"/>
        <v>0</v>
      </c>
      <c r="G596" s="851">
        <f t="shared" si="38"/>
        <v>0</v>
      </c>
      <c r="H596" s="854">
        <f t="shared" si="39"/>
        <v>0</v>
      </c>
      <c r="I596" s="453">
        <f t="shared" si="36"/>
        <v>0</v>
      </c>
      <c r="J596" s="453"/>
      <c r="K596" s="566"/>
      <c r="L596" s="459"/>
      <c r="M596" s="566"/>
      <c r="N596" s="459"/>
      <c r="O596" s="459"/>
      <c r="P596" s="4"/>
    </row>
    <row r="597" spans="3:16">
      <c r="C597" s="449">
        <f>IF(D542="","-",+C596+1)</f>
        <v>2065</v>
      </c>
      <c r="D597" s="412">
        <f t="shared" si="37"/>
        <v>0</v>
      </c>
      <c r="E597" s="456">
        <f t="shared" si="40"/>
        <v>0</v>
      </c>
      <c r="F597" s="412">
        <f t="shared" si="35"/>
        <v>0</v>
      </c>
      <c r="G597" s="851">
        <f t="shared" si="38"/>
        <v>0</v>
      </c>
      <c r="H597" s="854">
        <f t="shared" si="39"/>
        <v>0</v>
      </c>
      <c r="I597" s="453">
        <f t="shared" si="36"/>
        <v>0</v>
      </c>
      <c r="J597" s="453"/>
      <c r="K597" s="566"/>
      <c r="L597" s="459"/>
      <c r="M597" s="566"/>
      <c r="N597" s="459"/>
      <c r="O597" s="459"/>
      <c r="P597" s="4"/>
    </row>
    <row r="598" spans="3:16">
      <c r="C598" s="449">
        <f>IF(D542="","-",+C597+1)</f>
        <v>2066</v>
      </c>
      <c r="D598" s="412">
        <f t="shared" si="37"/>
        <v>0</v>
      </c>
      <c r="E598" s="456">
        <f t="shared" si="40"/>
        <v>0</v>
      </c>
      <c r="F598" s="412">
        <f t="shared" si="35"/>
        <v>0</v>
      </c>
      <c r="G598" s="851">
        <f t="shared" si="38"/>
        <v>0</v>
      </c>
      <c r="H598" s="854">
        <f t="shared" si="39"/>
        <v>0</v>
      </c>
      <c r="I598" s="453">
        <f t="shared" si="36"/>
        <v>0</v>
      </c>
      <c r="J598" s="453"/>
      <c r="K598" s="566"/>
      <c r="L598" s="459"/>
      <c r="M598" s="566"/>
      <c r="N598" s="459"/>
      <c r="O598" s="459"/>
      <c r="P598" s="4"/>
    </row>
    <row r="599" spans="3:16">
      <c r="C599" s="449">
        <f>IF(D542="","-",+C598+1)</f>
        <v>2067</v>
      </c>
      <c r="D599" s="412">
        <f t="shared" si="37"/>
        <v>0</v>
      </c>
      <c r="E599" s="456">
        <f t="shared" si="40"/>
        <v>0</v>
      </c>
      <c r="F599" s="412">
        <f t="shared" si="35"/>
        <v>0</v>
      </c>
      <c r="G599" s="851">
        <f t="shared" si="38"/>
        <v>0</v>
      </c>
      <c r="H599" s="854">
        <f t="shared" si="39"/>
        <v>0</v>
      </c>
      <c r="I599" s="453">
        <f t="shared" si="36"/>
        <v>0</v>
      </c>
      <c r="J599" s="453"/>
      <c r="K599" s="566"/>
      <c r="L599" s="459"/>
      <c r="M599" s="566"/>
      <c r="N599" s="459"/>
      <c r="O599" s="459"/>
      <c r="P599" s="4"/>
    </row>
    <row r="600" spans="3:16">
      <c r="C600" s="449">
        <f>IF(D542="","-",+C599+1)</f>
        <v>2068</v>
      </c>
      <c r="D600" s="412">
        <f t="shared" si="37"/>
        <v>0</v>
      </c>
      <c r="E600" s="456">
        <f t="shared" si="40"/>
        <v>0</v>
      </c>
      <c r="F600" s="412">
        <f t="shared" si="35"/>
        <v>0</v>
      </c>
      <c r="G600" s="851">
        <f t="shared" si="38"/>
        <v>0</v>
      </c>
      <c r="H600" s="854">
        <f t="shared" si="39"/>
        <v>0</v>
      </c>
      <c r="I600" s="453">
        <f t="shared" si="36"/>
        <v>0</v>
      </c>
      <c r="J600" s="453"/>
      <c r="K600" s="566"/>
      <c r="L600" s="459"/>
      <c r="M600" s="566"/>
      <c r="N600" s="459"/>
      <c r="O600" s="459"/>
      <c r="P600" s="4"/>
    </row>
    <row r="601" spans="3:16">
      <c r="C601" s="449">
        <f>IF(D542="","-",+C600+1)</f>
        <v>2069</v>
      </c>
      <c r="D601" s="412">
        <f t="shared" si="37"/>
        <v>0</v>
      </c>
      <c r="E601" s="456">
        <f t="shared" si="40"/>
        <v>0</v>
      </c>
      <c r="F601" s="412">
        <f t="shared" si="35"/>
        <v>0</v>
      </c>
      <c r="G601" s="851">
        <f t="shared" si="38"/>
        <v>0</v>
      </c>
      <c r="H601" s="854">
        <f t="shared" si="39"/>
        <v>0</v>
      </c>
      <c r="I601" s="453">
        <f t="shared" si="36"/>
        <v>0</v>
      </c>
      <c r="J601" s="453"/>
      <c r="K601" s="566"/>
      <c r="L601" s="459"/>
      <c r="M601" s="566"/>
      <c r="N601" s="459"/>
      <c r="O601" s="459"/>
      <c r="P601" s="4"/>
    </row>
    <row r="602" spans="3:16">
      <c r="C602" s="449">
        <f>IF(D542="","-",+C601+1)</f>
        <v>2070</v>
      </c>
      <c r="D602" s="412">
        <f t="shared" si="37"/>
        <v>0</v>
      </c>
      <c r="E602" s="456">
        <f t="shared" si="40"/>
        <v>0</v>
      </c>
      <c r="F602" s="412">
        <f t="shared" si="35"/>
        <v>0</v>
      </c>
      <c r="G602" s="851">
        <f t="shared" si="38"/>
        <v>0</v>
      </c>
      <c r="H602" s="854">
        <f t="shared" si="39"/>
        <v>0</v>
      </c>
      <c r="I602" s="453">
        <f t="shared" si="36"/>
        <v>0</v>
      </c>
      <c r="J602" s="453"/>
      <c r="K602" s="566"/>
      <c r="L602" s="459"/>
      <c r="M602" s="566"/>
      <c r="N602" s="459"/>
      <c r="O602" s="459"/>
      <c r="P602" s="4"/>
    </row>
    <row r="603" spans="3:16">
      <c r="C603" s="449">
        <f>IF(D542="","-",+C602+1)</f>
        <v>2071</v>
      </c>
      <c r="D603" s="412">
        <f t="shared" si="37"/>
        <v>0</v>
      </c>
      <c r="E603" s="456">
        <f t="shared" si="40"/>
        <v>0</v>
      </c>
      <c r="F603" s="412">
        <f t="shared" si="35"/>
        <v>0</v>
      </c>
      <c r="G603" s="851">
        <f t="shared" si="38"/>
        <v>0</v>
      </c>
      <c r="H603" s="854">
        <f t="shared" si="39"/>
        <v>0</v>
      </c>
      <c r="I603" s="453">
        <f t="shared" si="36"/>
        <v>0</v>
      </c>
      <c r="J603" s="453"/>
      <c r="K603" s="566"/>
      <c r="L603" s="459"/>
      <c r="M603" s="566"/>
      <c r="N603" s="459"/>
      <c r="O603" s="459"/>
      <c r="P603" s="4"/>
    </row>
    <row r="604" spans="3:16">
      <c r="C604" s="449">
        <f>IF(D542="","-",+C603+1)</f>
        <v>2072</v>
      </c>
      <c r="D604" s="412">
        <f t="shared" si="37"/>
        <v>0</v>
      </c>
      <c r="E604" s="456">
        <f t="shared" si="40"/>
        <v>0</v>
      </c>
      <c r="F604" s="412">
        <f t="shared" si="35"/>
        <v>0</v>
      </c>
      <c r="G604" s="851">
        <f t="shared" si="38"/>
        <v>0</v>
      </c>
      <c r="H604" s="854">
        <f t="shared" si="39"/>
        <v>0</v>
      </c>
      <c r="I604" s="453">
        <f t="shared" si="36"/>
        <v>0</v>
      </c>
      <c r="J604" s="453"/>
      <c r="K604" s="566"/>
      <c r="L604" s="459"/>
      <c r="M604" s="566"/>
      <c r="N604" s="459"/>
      <c r="O604" s="459"/>
      <c r="P604" s="4"/>
    </row>
    <row r="605" spans="3:16">
      <c r="C605" s="449">
        <f>IF(D542="","-",+C604+1)</f>
        <v>2073</v>
      </c>
      <c r="D605" s="412">
        <f t="shared" si="37"/>
        <v>0</v>
      </c>
      <c r="E605" s="456">
        <f t="shared" si="40"/>
        <v>0</v>
      </c>
      <c r="F605" s="412">
        <f t="shared" si="35"/>
        <v>0</v>
      </c>
      <c r="G605" s="851">
        <f t="shared" si="38"/>
        <v>0</v>
      </c>
      <c r="H605" s="854">
        <f t="shared" si="39"/>
        <v>0</v>
      </c>
      <c r="I605" s="453">
        <f t="shared" si="36"/>
        <v>0</v>
      </c>
      <c r="J605" s="453"/>
      <c r="K605" s="566"/>
      <c r="L605" s="459"/>
      <c r="M605" s="566"/>
      <c r="N605" s="459"/>
      <c r="O605" s="459"/>
      <c r="P605" s="4"/>
    </row>
    <row r="606" spans="3:16">
      <c r="C606" s="449">
        <f>IF(D542="","-",+C605+1)</f>
        <v>2074</v>
      </c>
      <c r="D606" s="412">
        <f t="shared" si="37"/>
        <v>0</v>
      </c>
      <c r="E606" s="456">
        <f t="shared" si="40"/>
        <v>0</v>
      </c>
      <c r="F606" s="412">
        <f t="shared" si="35"/>
        <v>0</v>
      </c>
      <c r="G606" s="851">
        <f t="shared" si="38"/>
        <v>0</v>
      </c>
      <c r="H606" s="854">
        <f t="shared" si="39"/>
        <v>0</v>
      </c>
      <c r="I606" s="453">
        <f t="shared" si="36"/>
        <v>0</v>
      </c>
      <c r="J606" s="453"/>
      <c r="K606" s="566"/>
      <c r="L606" s="459"/>
      <c r="M606" s="566"/>
      <c r="N606" s="459"/>
      <c r="O606" s="459"/>
      <c r="P606" s="4"/>
    </row>
    <row r="607" spans="3:16" ht="13.5" thickBot="1">
      <c r="C607" s="461">
        <f>IF(D542="","-",+C606+1)</f>
        <v>2075</v>
      </c>
      <c r="D607" s="462">
        <f t="shared" si="37"/>
        <v>0</v>
      </c>
      <c r="E607" s="463">
        <f t="shared" si="40"/>
        <v>0</v>
      </c>
      <c r="F607" s="462">
        <f t="shared" si="35"/>
        <v>0</v>
      </c>
      <c r="G607" s="861">
        <f t="shared" si="38"/>
        <v>0</v>
      </c>
      <c r="H607" s="861">
        <f t="shared" si="39"/>
        <v>0</v>
      </c>
      <c r="I607" s="465">
        <f t="shared" si="36"/>
        <v>0</v>
      </c>
      <c r="J607" s="453"/>
      <c r="K607" s="567"/>
      <c r="L607" s="467"/>
      <c r="M607" s="567"/>
      <c r="N607" s="467"/>
      <c r="O607" s="467"/>
      <c r="P607" s="4"/>
    </row>
    <row r="608" spans="3:16">
      <c r="C608" s="412" t="s">
        <v>288</v>
      </c>
      <c r="D608" s="832"/>
      <c r="E608" s="832">
        <f>SUM(E548:E607)</f>
        <v>3429372.0402000002</v>
      </c>
      <c r="F608" s="832"/>
      <c r="G608" s="832">
        <f>SUM(G548:G607)</f>
        <v>11264634.575491151</v>
      </c>
      <c r="H608" s="832">
        <f>SUM(H548:H607)</f>
        <v>11264634.575491151</v>
      </c>
      <c r="I608" s="832">
        <f>SUM(I548:I607)</f>
        <v>0</v>
      </c>
      <c r="J608" s="832"/>
      <c r="K608" s="832"/>
      <c r="L608" s="832"/>
      <c r="M608" s="832"/>
      <c r="N608" s="832"/>
      <c r="O608" s="4"/>
      <c r="P608" s="4"/>
    </row>
    <row r="609" spans="1:16">
      <c r="D609" s="67"/>
      <c r="E609" s="4"/>
      <c r="F609" s="4"/>
      <c r="G609" s="4"/>
      <c r="H609" s="831"/>
      <c r="I609" s="831"/>
      <c r="J609" s="832"/>
      <c r="K609" s="831"/>
      <c r="L609" s="831"/>
      <c r="M609" s="831"/>
      <c r="N609" s="831"/>
      <c r="O609" s="4"/>
      <c r="P609" s="4"/>
    </row>
    <row r="610" spans="1:16">
      <c r="C610" s="4" t="s">
        <v>601</v>
      </c>
      <c r="D610" s="67"/>
      <c r="E610" s="4"/>
      <c r="F610" s="4"/>
      <c r="G610" s="4"/>
      <c r="H610" s="831"/>
      <c r="I610" s="831"/>
      <c r="J610" s="832"/>
      <c r="K610" s="831"/>
      <c r="L610" s="831"/>
      <c r="M610" s="831"/>
      <c r="N610" s="831"/>
      <c r="O610" s="4"/>
      <c r="P610" s="4"/>
    </row>
    <row r="611" spans="1:16">
      <c r="D611" s="67"/>
      <c r="E611" s="4"/>
      <c r="F611" s="4"/>
      <c r="G611" s="4"/>
      <c r="H611" s="831"/>
      <c r="I611" s="831"/>
      <c r="J611" s="832"/>
      <c r="K611" s="831"/>
      <c r="L611" s="831"/>
      <c r="M611" s="831"/>
      <c r="N611" s="831"/>
      <c r="O611" s="4"/>
      <c r="P611" s="4"/>
    </row>
    <row r="612" spans="1:16">
      <c r="C612" s="4" t="s">
        <v>602</v>
      </c>
      <c r="D612" s="412"/>
      <c r="E612" s="412"/>
      <c r="F612" s="412"/>
      <c r="G612" s="832"/>
      <c r="H612" s="832"/>
      <c r="I612" s="414"/>
      <c r="J612" s="414"/>
      <c r="K612" s="414"/>
      <c r="L612" s="414"/>
      <c r="M612" s="414"/>
      <c r="N612" s="414"/>
      <c r="O612" s="4"/>
      <c r="P612" s="4"/>
    </row>
    <row r="613" spans="1:16">
      <c r="C613" s="4" t="s">
        <v>476</v>
      </c>
      <c r="D613" s="412"/>
      <c r="E613" s="412"/>
      <c r="F613" s="412"/>
      <c r="G613" s="832"/>
      <c r="H613" s="832"/>
      <c r="I613" s="414"/>
      <c r="J613" s="414"/>
      <c r="K613" s="414"/>
      <c r="L613" s="414"/>
      <c r="M613" s="414"/>
      <c r="N613" s="414"/>
      <c r="O613" s="4"/>
      <c r="P613" s="4"/>
    </row>
    <row r="614" spans="1:16">
      <c r="C614" s="4" t="s">
        <v>289</v>
      </c>
      <c r="D614" s="412"/>
      <c r="E614" s="412"/>
      <c r="F614" s="412"/>
      <c r="G614" s="832"/>
      <c r="H614" s="832"/>
      <c r="I614" s="414"/>
      <c r="J614" s="414"/>
      <c r="K614" s="414"/>
      <c r="L614" s="414"/>
      <c r="M614" s="414"/>
      <c r="N614" s="414"/>
      <c r="O614" s="4"/>
      <c r="P614" s="4"/>
    </row>
    <row r="615" spans="1:16">
      <c r="C615" s="413"/>
      <c r="D615" s="412"/>
      <c r="E615" s="412"/>
      <c r="F615" s="412"/>
      <c r="G615" s="832"/>
      <c r="H615" s="832"/>
      <c r="I615" s="414"/>
      <c r="J615" s="414"/>
      <c r="K615" s="414"/>
      <c r="L615" s="414"/>
      <c r="M615" s="414"/>
      <c r="N615" s="414"/>
      <c r="O615" s="4"/>
      <c r="P615" s="4"/>
    </row>
    <row r="616" spans="1:16">
      <c r="C616" s="1279" t="s">
        <v>460</v>
      </c>
      <c r="D616" s="1279"/>
      <c r="E616" s="1279"/>
      <c r="F616" s="1279"/>
      <c r="G616" s="1279"/>
      <c r="H616" s="1279"/>
      <c r="I616" s="1279"/>
      <c r="J616" s="1279"/>
      <c r="K616" s="1279"/>
      <c r="L616" s="1279"/>
      <c r="M616" s="1279"/>
      <c r="N616" s="1279"/>
      <c r="O616" s="1279"/>
      <c r="P616" s="4"/>
    </row>
    <row r="617" spans="1:16">
      <c r="C617" s="1279"/>
      <c r="D617" s="1279"/>
      <c r="E617" s="1279"/>
      <c r="F617" s="1279"/>
      <c r="G617" s="1279"/>
      <c r="H617" s="1279"/>
      <c r="I617" s="1279"/>
      <c r="J617" s="1279"/>
      <c r="K617" s="1279"/>
      <c r="L617" s="1279"/>
      <c r="M617" s="1279"/>
      <c r="N617" s="1279"/>
      <c r="O617" s="1279"/>
      <c r="P617" s="4"/>
    </row>
    <row r="618" spans="1:16" ht="20.25">
      <c r="A618" s="352" t="s">
        <v>929</v>
      </c>
      <c r="B618" s="4"/>
      <c r="C618" s="4"/>
      <c r="D618" s="67"/>
      <c r="E618" s="4"/>
      <c r="F618" s="394"/>
      <c r="G618" s="4"/>
      <c r="H618" s="831"/>
      <c r="K618" s="353"/>
      <c r="L618" s="353"/>
      <c r="M618" s="353"/>
      <c r="N618" s="353" t="str">
        <f>"Page "&amp;SUM(P$6:P618)&amp;" of "</f>
        <v xml:space="preserve">Page 8 of </v>
      </c>
      <c r="O618" s="354">
        <f>COUNT(P$6:P$59606)</f>
        <v>18</v>
      </c>
      <c r="P618" s="4">
        <v>1</v>
      </c>
    </row>
    <row r="619" spans="1:16">
      <c r="B619" s="4"/>
      <c r="C619" s="4"/>
      <c r="D619" s="67"/>
      <c r="E619" s="4"/>
      <c r="F619" s="4"/>
      <c r="G619" s="4"/>
      <c r="H619" s="831"/>
      <c r="I619" s="4"/>
      <c r="J619" s="4"/>
      <c r="K619" s="4"/>
      <c r="L619" s="4"/>
      <c r="M619" s="4"/>
      <c r="N619" s="4"/>
      <c r="O619" s="4"/>
      <c r="P619" s="4"/>
    </row>
    <row r="620" spans="1:16" ht="18">
      <c r="B620" s="355" t="s">
        <v>174</v>
      </c>
      <c r="C620" s="415" t="s">
        <v>290</v>
      </c>
      <c r="D620" s="67"/>
      <c r="E620" s="4"/>
      <c r="F620" s="4"/>
      <c r="G620" s="4"/>
      <c r="H620" s="831"/>
      <c r="I620" s="831"/>
      <c r="J620" s="832"/>
      <c r="K620" s="831"/>
      <c r="L620" s="831"/>
      <c r="M620" s="831"/>
      <c r="N620" s="831"/>
      <c r="O620" s="4"/>
      <c r="P620" s="4"/>
    </row>
    <row r="621" spans="1:16" ht="18.75">
      <c r="B621" s="355"/>
      <c r="C621" s="11"/>
      <c r="D621" s="67"/>
      <c r="E621" s="4"/>
      <c r="F621" s="4"/>
      <c r="G621" s="4"/>
      <c r="H621" s="831"/>
      <c r="I621" s="831"/>
      <c r="J621" s="832"/>
      <c r="K621" s="831"/>
      <c r="L621" s="831"/>
      <c r="M621" s="831"/>
      <c r="N621" s="831"/>
      <c r="O621" s="4"/>
      <c r="P621" s="4"/>
    </row>
    <row r="622" spans="1:16" ht="18.75">
      <c r="B622" s="355"/>
      <c r="C622" s="11" t="s">
        <v>291</v>
      </c>
      <c r="D622" s="67"/>
      <c r="E622" s="4"/>
      <c r="F622" s="4"/>
      <c r="G622" s="4"/>
      <c r="H622" s="831"/>
      <c r="I622" s="831"/>
      <c r="J622" s="832"/>
      <c r="K622" s="831"/>
      <c r="L622" s="831"/>
      <c r="M622" s="831"/>
      <c r="N622" s="831"/>
      <c r="O622" s="4"/>
      <c r="P622" s="4"/>
    </row>
    <row r="623" spans="1:16" ht="15.75" thickBot="1">
      <c r="C623" s="203"/>
      <c r="D623" s="67"/>
      <c r="E623" s="4"/>
      <c r="F623" s="4"/>
      <c r="G623" s="4"/>
      <c r="H623" s="831"/>
      <c r="I623" s="831"/>
      <c r="J623" s="832"/>
      <c r="K623" s="831"/>
      <c r="L623" s="831"/>
      <c r="M623" s="831"/>
      <c r="N623" s="831"/>
      <c r="O623" s="4"/>
      <c r="P623" s="4"/>
    </row>
    <row r="624" spans="1:16" ht="15.75">
      <c r="C624" s="356" t="s">
        <v>292</v>
      </c>
      <c r="D624" s="67"/>
      <c r="E624" s="4"/>
      <c r="F624" s="4"/>
      <c r="G624" s="833"/>
      <c r="H624" s="4" t="s">
        <v>271</v>
      </c>
      <c r="I624" s="4"/>
      <c r="J624" s="4"/>
      <c r="K624" s="416" t="s">
        <v>296</v>
      </c>
      <c r="L624" s="417"/>
      <c r="M624" s="418"/>
      <c r="N624" s="834">
        <f>VLOOKUP(I630,C637:O696,5)</f>
        <v>3309584.4377504531</v>
      </c>
      <c r="O624" s="4"/>
      <c r="P624" s="4"/>
    </row>
    <row r="625" spans="1:16" ht="15.75">
      <c r="C625" s="356"/>
      <c r="D625" s="67"/>
      <c r="E625" s="4"/>
      <c r="F625" s="4"/>
      <c r="G625" s="4"/>
      <c r="H625" s="835"/>
      <c r="I625" s="835"/>
      <c r="J625" s="836"/>
      <c r="K625" s="421" t="s">
        <v>297</v>
      </c>
      <c r="L625" s="837"/>
      <c r="M625" s="4"/>
      <c r="N625" s="838">
        <f>VLOOKUP(I630,C637:O696,6)</f>
        <v>3309584.4377504531</v>
      </c>
      <c r="O625" s="4"/>
      <c r="P625" s="4"/>
    </row>
    <row r="626" spans="1:16" ht="13.5" thickBot="1">
      <c r="C626" s="422" t="s">
        <v>293</v>
      </c>
      <c r="D626" s="1277" t="s">
        <v>937</v>
      </c>
      <c r="E626" s="1277"/>
      <c r="F626" s="1277"/>
      <c r="G626" s="1277"/>
      <c r="H626" s="1277"/>
      <c r="I626" s="831"/>
      <c r="J626" s="832"/>
      <c r="K626" s="839" t="s">
        <v>450</v>
      </c>
      <c r="L626" s="840"/>
      <c r="M626" s="840"/>
      <c r="N626" s="841">
        <f>+N625-N624</f>
        <v>0</v>
      </c>
      <c r="O626" s="4"/>
      <c r="P626" s="4"/>
    </row>
    <row r="627" spans="1:16">
      <c r="C627" s="424"/>
      <c r="D627" s="425"/>
      <c r="E627" s="412"/>
      <c r="F627" s="412"/>
      <c r="G627" s="426"/>
      <c r="H627" s="831"/>
      <c r="I627" s="831"/>
      <c r="J627" s="832"/>
      <c r="K627" s="831"/>
      <c r="L627" s="831"/>
      <c r="M627" s="831"/>
      <c r="N627" s="831"/>
      <c r="O627" s="4"/>
      <c r="P627" s="4"/>
    </row>
    <row r="628" spans="1:16" ht="13.5" thickBot="1">
      <c r="C628" s="424"/>
      <c r="D628" s="4"/>
      <c r="E628" s="426"/>
      <c r="F628" s="426"/>
      <c r="G628" s="426"/>
      <c r="H628" s="426"/>
      <c r="I628" s="426"/>
      <c r="J628" s="426"/>
      <c r="K628" s="426"/>
      <c r="L628" s="426"/>
      <c r="M628" s="426"/>
      <c r="N628" s="426"/>
      <c r="O628" s="4"/>
      <c r="P628" s="4"/>
    </row>
    <row r="629" spans="1:16" ht="13.5" thickBot="1">
      <c r="C629" s="427" t="s">
        <v>294</v>
      </c>
      <c r="D629" s="428"/>
      <c r="E629" s="428"/>
      <c r="F629" s="428"/>
      <c r="G629" s="428"/>
      <c r="H629" s="428"/>
      <c r="I629" s="429"/>
      <c r="K629" s="4"/>
      <c r="L629" s="4"/>
      <c r="M629" s="4"/>
      <c r="N629" s="4"/>
      <c r="O629" s="4"/>
      <c r="P629" s="4"/>
    </row>
    <row r="630" spans="1:16" ht="15">
      <c r="C630" s="430" t="s">
        <v>272</v>
      </c>
      <c r="D630" s="842">
        <v>30073762.065699998</v>
      </c>
      <c r="E630" s="4" t="s">
        <v>273</v>
      </c>
      <c r="G630" s="67"/>
      <c r="H630" s="67"/>
      <c r="I630" s="431">
        <f>$L$26</f>
        <v>2026</v>
      </c>
      <c r="J630" s="114"/>
      <c r="K630" s="1278" t="s">
        <v>459</v>
      </c>
      <c r="L630" s="1278"/>
      <c r="M630" s="1278"/>
      <c r="N630" s="1278"/>
      <c r="O630" s="1278"/>
      <c r="P630" s="4"/>
    </row>
    <row r="631" spans="1:16">
      <c r="C631" s="430" t="s">
        <v>275</v>
      </c>
      <c r="D631" s="561">
        <v>2016</v>
      </c>
      <c r="E631" s="430" t="s">
        <v>276</v>
      </c>
      <c r="F631" s="67"/>
      <c r="I631" s="564">
        <f>IF(G624="",0,$F$15)</f>
        <v>0</v>
      </c>
      <c r="J631" s="432"/>
      <c r="K631" s="832" t="s">
        <v>459</v>
      </c>
      <c r="P631" s="4"/>
    </row>
    <row r="632" spans="1:16">
      <c r="C632" s="430" t="s">
        <v>277</v>
      </c>
      <c r="D632" s="843">
        <v>11</v>
      </c>
      <c r="E632" s="430" t="s">
        <v>278</v>
      </c>
      <c r="F632" s="67"/>
      <c r="I632" s="433">
        <f>$G$70</f>
        <v>0.1119061905251431</v>
      </c>
      <c r="J632" s="394"/>
      <c r="K632" t="str">
        <f>"          INPUT PROJECTED ARR (WITH &amp; WITHOUT INCENTIVES) FROM EACH PRIOR YEAR"</f>
        <v xml:space="preserve">          INPUT PROJECTED ARR (WITH &amp; WITHOUT INCENTIVES) FROM EACH PRIOR YEAR</v>
      </c>
      <c r="P632" s="4"/>
    </row>
    <row r="633" spans="1:16">
      <c r="C633" s="430" t="s">
        <v>279</v>
      </c>
      <c r="D633" s="434">
        <f>G$79</f>
        <v>39</v>
      </c>
      <c r="E633" s="430" t="s">
        <v>280</v>
      </c>
      <c r="F633" s="67"/>
      <c r="I633" s="433">
        <f>IF(G624="",I632,$G$67)</f>
        <v>0.1119061905251431</v>
      </c>
      <c r="J633" s="394"/>
      <c r="K633" t="s">
        <v>357</v>
      </c>
      <c r="P633" s="4"/>
    </row>
    <row r="634" spans="1:16" ht="13.5" thickBot="1">
      <c r="C634" s="430" t="s">
        <v>281</v>
      </c>
      <c r="D634" s="563" t="s">
        <v>931</v>
      </c>
      <c r="E634" s="435" t="s">
        <v>282</v>
      </c>
      <c r="F634" s="436"/>
      <c r="G634" s="437"/>
      <c r="H634" s="437"/>
      <c r="I634" s="841">
        <f>IF(D630=0,0,D630/D633)</f>
        <v>771122.10424871789</v>
      </c>
      <c r="J634" s="832"/>
      <c r="K634" s="832" t="s">
        <v>363</v>
      </c>
      <c r="L634" s="832"/>
      <c r="M634" s="832"/>
      <c r="N634" s="832"/>
      <c r="O634" s="4"/>
      <c r="P634" s="4"/>
    </row>
    <row r="635" spans="1:16" ht="51">
      <c r="A635" s="322"/>
      <c r="B635" s="322"/>
      <c r="C635" s="438" t="s">
        <v>272</v>
      </c>
      <c r="D635" s="844" t="s">
        <v>283</v>
      </c>
      <c r="E635" s="845" t="s">
        <v>284</v>
      </c>
      <c r="F635" s="844" t="s">
        <v>285</v>
      </c>
      <c r="G635" s="845" t="s">
        <v>356</v>
      </c>
      <c r="H635" s="846" t="s">
        <v>356</v>
      </c>
      <c r="I635" s="438" t="s">
        <v>295</v>
      </c>
      <c r="J635" s="442"/>
      <c r="K635" s="845" t="s">
        <v>365</v>
      </c>
      <c r="L635" s="847"/>
      <c r="M635" s="845" t="s">
        <v>365</v>
      </c>
      <c r="N635" s="847"/>
      <c r="O635" s="847"/>
      <c r="P635" s="4"/>
    </row>
    <row r="636" spans="1:16" ht="13.5" thickBot="1">
      <c r="C636" s="444" t="s">
        <v>177</v>
      </c>
      <c r="D636" s="445" t="s">
        <v>178</v>
      </c>
      <c r="E636" s="444" t="s">
        <v>37</v>
      </c>
      <c r="F636" s="445" t="s">
        <v>178</v>
      </c>
      <c r="G636" s="848" t="s">
        <v>298</v>
      </c>
      <c r="H636" s="849" t="s">
        <v>300</v>
      </c>
      <c r="I636" s="444" t="s">
        <v>389</v>
      </c>
      <c r="J636" s="448"/>
      <c r="K636" s="848" t="s">
        <v>287</v>
      </c>
      <c r="L636" s="877"/>
      <c r="M636" s="848" t="s">
        <v>300</v>
      </c>
      <c r="N636" s="850"/>
      <c r="O636" s="850"/>
      <c r="P636" s="4"/>
    </row>
    <row r="637" spans="1:16">
      <c r="C637" s="449">
        <f>IF(D631= "","-",D631)</f>
        <v>2016</v>
      </c>
      <c r="D637" s="412">
        <f>+D630</f>
        <v>30073762.065699998</v>
      </c>
      <c r="E637" s="851">
        <f>+I634/12*(12-D632)</f>
        <v>64260.175354059822</v>
      </c>
      <c r="F637" s="412">
        <f t="shared" ref="F637:F696" si="41">+D637-E637</f>
        <v>30009501.890345939</v>
      </c>
      <c r="G637" s="852">
        <f>+$I$632*((D637+F637)/2)+E637</f>
        <v>3426104.7671729298</v>
      </c>
      <c r="H637" s="853">
        <f>+$I$633*((D637+F637)/2)+E637</f>
        <v>3426104.7671729298</v>
      </c>
      <c r="I637" s="453">
        <f t="shared" ref="I637:I696" si="42">+H637-G637</f>
        <v>0</v>
      </c>
      <c r="J637" s="868"/>
      <c r="K637" s="869">
        <v>13022465</v>
      </c>
      <c r="L637" s="872"/>
      <c r="M637" s="869">
        <v>13022465</v>
      </c>
      <c r="N637" s="871"/>
      <c r="O637" s="455"/>
      <c r="P637" s="4"/>
    </row>
    <row r="638" spans="1:16">
      <c r="C638" s="449">
        <f>IF(D631="","-",+C637+1)</f>
        <v>2017</v>
      </c>
      <c r="D638" s="412">
        <f t="shared" ref="D638:D696" si="43">F637</f>
        <v>30009501.890345939</v>
      </c>
      <c r="E638" s="456">
        <f>IF(D638&gt;$I$634,$I$634,D638)</f>
        <v>771122.10424871789</v>
      </c>
      <c r="F638" s="412">
        <f t="shared" si="41"/>
        <v>29238379.786097221</v>
      </c>
      <c r="G638" s="851">
        <f t="shared" ref="G638:G696" si="44">+$I$632*((D638+F638)/2)+E638</f>
        <v>4086224.4717963091</v>
      </c>
      <c r="H638" s="854">
        <f t="shared" ref="H638:H696" si="45">+$I$633*((D638+F638)/2)+E638</f>
        <v>4086224.4717963091</v>
      </c>
      <c r="I638" s="453">
        <f t="shared" si="42"/>
        <v>0</v>
      </c>
      <c r="J638" s="453"/>
      <c r="K638" s="566">
        <v>3514741.613096768</v>
      </c>
      <c r="L638" s="459"/>
      <c r="M638" s="566">
        <v>3514741.613096768</v>
      </c>
      <c r="N638" s="459"/>
      <c r="O638" s="459"/>
      <c r="P638" s="4"/>
    </row>
    <row r="639" spans="1:16">
      <c r="C639" s="878">
        <f>IF(D631="","-",+C638+1)</f>
        <v>2018</v>
      </c>
      <c r="D639" s="856">
        <f t="shared" si="43"/>
        <v>29238379.786097221</v>
      </c>
      <c r="E639" s="857">
        <f t="shared" ref="E639:E696" si="46">IF(D639&gt;$I$634,$I$634,D639)</f>
        <v>771122.10424871789</v>
      </c>
      <c r="F639" s="856">
        <f t="shared" si="41"/>
        <v>28467257.681848504</v>
      </c>
      <c r="G639" s="858">
        <f t="shared" si="44"/>
        <v>3999931.134680103</v>
      </c>
      <c r="H639" s="859">
        <f t="shared" si="45"/>
        <v>3999931.134680103</v>
      </c>
      <c r="I639" s="865">
        <f t="shared" si="42"/>
        <v>0</v>
      </c>
      <c r="J639" s="453"/>
      <c r="K639" s="566">
        <v>3974755</v>
      </c>
      <c r="L639" s="459"/>
      <c r="M639" s="566">
        <v>3974755</v>
      </c>
      <c r="N639" s="459"/>
      <c r="O639" s="459"/>
      <c r="P639" s="4"/>
    </row>
    <row r="640" spans="1:16">
      <c r="C640" s="449">
        <f>IF(D631="","-",+C639+1)</f>
        <v>2019</v>
      </c>
      <c r="D640" s="412">
        <f t="shared" si="43"/>
        <v>28467257.681848504</v>
      </c>
      <c r="E640" s="456">
        <f t="shared" si="46"/>
        <v>771122.10424871789</v>
      </c>
      <c r="F640" s="412">
        <f t="shared" si="41"/>
        <v>27696135.577599786</v>
      </c>
      <c r="G640" s="851">
        <f t="shared" si="44"/>
        <v>3913637.797563897</v>
      </c>
      <c r="H640" s="854">
        <f t="shared" si="45"/>
        <v>3913637.797563897</v>
      </c>
      <c r="I640" s="453">
        <f t="shared" si="42"/>
        <v>0</v>
      </c>
      <c r="J640" s="453"/>
      <c r="K640" s="566">
        <v>3572369</v>
      </c>
      <c r="L640" s="459"/>
      <c r="M640" s="566">
        <v>3572369</v>
      </c>
      <c r="N640" s="459"/>
      <c r="O640" s="459"/>
      <c r="P640" s="4"/>
    </row>
    <row r="641" spans="3:16">
      <c r="C641" s="449">
        <f>IF(D631="","-",+C640+1)</f>
        <v>2020</v>
      </c>
      <c r="D641" s="412">
        <f t="shared" si="43"/>
        <v>27696135.577599786</v>
      </c>
      <c r="E641" s="456">
        <f t="shared" si="46"/>
        <v>771122.10424871789</v>
      </c>
      <c r="F641" s="412">
        <f t="shared" si="41"/>
        <v>26925013.473351069</v>
      </c>
      <c r="G641" s="851">
        <f t="shared" si="44"/>
        <v>3827344.4604476904</v>
      </c>
      <c r="H641" s="854">
        <f t="shared" si="45"/>
        <v>3827344.4604476904</v>
      </c>
      <c r="I641" s="453">
        <f t="shared" si="42"/>
        <v>0</v>
      </c>
      <c r="J641" s="453"/>
      <c r="K641" s="566">
        <v>3435592.6853049258</v>
      </c>
      <c r="L641" s="459"/>
      <c r="M641" s="566">
        <v>3435592.6853049258</v>
      </c>
      <c r="N641" s="459"/>
      <c r="O641" s="459"/>
      <c r="P641" s="4"/>
    </row>
    <row r="642" spans="3:16">
      <c r="C642" s="449">
        <f>IF(D631="","-",+C641+1)</f>
        <v>2021</v>
      </c>
      <c r="D642" s="412">
        <f t="shared" si="43"/>
        <v>26925013.473351069</v>
      </c>
      <c r="E642" s="456">
        <f t="shared" si="46"/>
        <v>771122.10424871789</v>
      </c>
      <c r="F642" s="412">
        <f t="shared" si="41"/>
        <v>26153891.369102351</v>
      </c>
      <c r="G642" s="851">
        <f t="shared" si="44"/>
        <v>3741051.1233314844</v>
      </c>
      <c r="H642" s="854">
        <f t="shared" si="45"/>
        <v>3741051.1233314844</v>
      </c>
      <c r="I642" s="453">
        <f t="shared" si="42"/>
        <v>0</v>
      </c>
      <c r="J642" s="453"/>
      <c r="K642" s="566">
        <v>3452843.0341999652</v>
      </c>
      <c r="L642" s="459"/>
      <c r="M642" s="566">
        <v>3452843.0341999652</v>
      </c>
      <c r="N642" s="459"/>
      <c r="O642" s="459"/>
      <c r="P642" s="4"/>
    </row>
    <row r="643" spans="3:16">
      <c r="C643" s="449">
        <f>IF(D634="","-",+C642+1)</f>
        <v>2022</v>
      </c>
      <c r="D643" s="412">
        <f t="shared" si="43"/>
        <v>26153891.369102351</v>
      </c>
      <c r="E643" s="456">
        <f t="shared" si="46"/>
        <v>771122.10424871789</v>
      </c>
      <c r="F643" s="412">
        <f t="shared" si="41"/>
        <v>25382769.264853634</v>
      </c>
      <c r="G643" s="851">
        <f t="shared" si="44"/>
        <v>3654757.7862152783</v>
      </c>
      <c r="H643" s="854">
        <f t="shared" si="45"/>
        <v>3654757.7862152783</v>
      </c>
      <c r="I643" s="453">
        <f t="shared" si="42"/>
        <v>0</v>
      </c>
      <c r="J643" s="453"/>
      <c r="K643" s="566">
        <v>3413115.8005183781</v>
      </c>
      <c r="L643" s="459"/>
      <c r="M643" s="566">
        <v>3413115.8005183781</v>
      </c>
      <c r="N643" s="459"/>
      <c r="O643" s="459"/>
      <c r="P643" s="4"/>
    </row>
    <row r="644" spans="3:16">
      <c r="C644" s="449">
        <f>IF(D634="","-",+C643+1)</f>
        <v>2023</v>
      </c>
      <c r="D644" s="412">
        <f t="shared" si="43"/>
        <v>25382769.264853634</v>
      </c>
      <c r="E644" s="456">
        <f t="shared" si="46"/>
        <v>771122.10424871789</v>
      </c>
      <c r="F644" s="412">
        <f t="shared" si="41"/>
        <v>24611647.160604917</v>
      </c>
      <c r="G644" s="851">
        <f t="shared" si="44"/>
        <v>3568464.4490990718</v>
      </c>
      <c r="H644" s="854">
        <f t="shared" si="45"/>
        <v>3568464.4490990718</v>
      </c>
      <c r="I644" s="453">
        <f t="shared" si="42"/>
        <v>0</v>
      </c>
      <c r="J644" s="453"/>
      <c r="K644" s="566">
        <v>3532642.157875096</v>
      </c>
      <c r="L644" s="459"/>
      <c r="M644" s="566">
        <v>3532642.157875096</v>
      </c>
      <c r="N644" s="459"/>
      <c r="O644" s="459"/>
      <c r="P644" s="4"/>
    </row>
    <row r="645" spans="3:16">
      <c r="C645" s="449">
        <f>IF(D631="","-",+C644+1)</f>
        <v>2024</v>
      </c>
      <c r="D645" s="412">
        <f t="shared" si="43"/>
        <v>24611647.160604917</v>
      </c>
      <c r="E645" s="456">
        <f t="shared" si="46"/>
        <v>771122.10424871789</v>
      </c>
      <c r="F645" s="412">
        <f t="shared" si="41"/>
        <v>23840525.056356199</v>
      </c>
      <c r="G645" s="851">
        <f t="shared" si="44"/>
        <v>3482171.1119828657</v>
      </c>
      <c r="H645" s="854">
        <f t="shared" si="45"/>
        <v>3482171.1119828657</v>
      </c>
      <c r="I645" s="453">
        <f t="shared" si="42"/>
        <v>0</v>
      </c>
      <c r="J645" s="453"/>
      <c r="K645" s="566">
        <v>3415869.1657549888</v>
      </c>
      <c r="L645" s="459"/>
      <c r="M645" s="566">
        <v>3415869.1657549888</v>
      </c>
      <c r="N645" s="459"/>
      <c r="O645" s="459"/>
      <c r="P645" s="4"/>
    </row>
    <row r="646" spans="3:16">
      <c r="C646" s="449">
        <f>IF(D631="","-",+C645+1)</f>
        <v>2025</v>
      </c>
      <c r="D646" s="412">
        <f t="shared" si="43"/>
        <v>23840525.056356199</v>
      </c>
      <c r="E646" s="456">
        <f t="shared" si="46"/>
        <v>771122.10424871789</v>
      </c>
      <c r="F646" s="412">
        <f t="shared" si="41"/>
        <v>23069402.952107482</v>
      </c>
      <c r="G646" s="851">
        <f t="shared" si="44"/>
        <v>3395877.7748666597</v>
      </c>
      <c r="H646" s="854">
        <f t="shared" si="45"/>
        <v>3395877.7748666597</v>
      </c>
      <c r="I646" s="453">
        <f t="shared" si="42"/>
        <v>0</v>
      </c>
      <c r="J646" s="453"/>
      <c r="K646" s="566">
        <v>3349767.5278923027</v>
      </c>
      <c r="L646" s="459"/>
      <c r="M646" s="566">
        <v>3349767.5278923027</v>
      </c>
      <c r="N646" s="459"/>
      <c r="O646" s="459"/>
      <c r="P646" s="4"/>
    </row>
    <row r="647" spans="3:16">
      <c r="C647" s="855">
        <f>IF(D631="","-",+C646+1)</f>
        <v>2026</v>
      </c>
      <c r="D647" s="412">
        <f t="shared" si="43"/>
        <v>23069402.952107482</v>
      </c>
      <c r="E647" s="456">
        <f t="shared" si="46"/>
        <v>771122.10424871789</v>
      </c>
      <c r="F647" s="412">
        <f t="shared" si="41"/>
        <v>22298280.847858764</v>
      </c>
      <c r="G647" s="851">
        <f t="shared" si="44"/>
        <v>3309584.4377504531</v>
      </c>
      <c r="H647" s="854">
        <f t="shared" si="45"/>
        <v>3309584.4377504531</v>
      </c>
      <c r="I647" s="453">
        <f t="shared" si="42"/>
        <v>0</v>
      </c>
      <c r="J647" s="453"/>
      <c r="K647" s="566"/>
      <c r="L647" s="459"/>
      <c r="M647" s="566"/>
      <c r="N647" s="459"/>
      <c r="O647" s="459"/>
      <c r="P647" s="4"/>
    </row>
    <row r="648" spans="3:16">
      <c r="C648" s="449">
        <f>IF(D631="","-",+C647+1)</f>
        <v>2027</v>
      </c>
      <c r="D648" s="412">
        <f t="shared" si="43"/>
        <v>22298280.847858764</v>
      </c>
      <c r="E648" s="456">
        <f t="shared" si="46"/>
        <v>771122.10424871789</v>
      </c>
      <c r="F648" s="412">
        <f t="shared" si="41"/>
        <v>21527158.743610047</v>
      </c>
      <c r="G648" s="851">
        <f t="shared" si="44"/>
        <v>3223291.1006342471</v>
      </c>
      <c r="H648" s="854">
        <f t="shared" si="45"/>
        <v>3223291.1006342471</v>
      </c>
      <c r="I648" s="453">
        <f t="shared" si="42"/>
        <v>0</v>
      </c>
      <c r="J648" s="453"/>
      <c r="K648" s="566"/>
      <c r="L648" s="459"/>
      <c r="M648" s="566"/>
      <c r="N648" s="459"/>
      <c r="O648" s="459"/>
      <c r="P648" s="4"/>
    </row>
    <row r="649" spans="3:16">
      <c r="C649" s="449">
        <f>IF(D631="","-",+C648+1)</f>
        <v>2028</v>
      </c>
      <c r="D649" s="412">
        <f t="shared" si="43"/>
        <v>21527158.743610047</v>
      </c>
      <c r="E649" s="456">
        <f t="shared" si="46"/>
        <v>771122.10424871789</v>
      </c>
      <c r="F649" s="412">
        <f t="shared" si="41"/>
        <v>20756036.639361329</v>
      </c>
      <c r="G649" s="851">
        <f t="shared" si="44"/>
        <v>3136997.763518041</v>
      </c>
      <c r="H649" s="854">
        <f t="shared" si="45"/>
        <v>3136997.763518041</v>
      </c>
      <c r="I649" s="453">
        <f t="shared" si="42"/>
        <v>0</v>
      </c>
      <c r="J649" s="453"/>
      <c r="K649" s="566"/>
      <c r="L649" s="459"/>
      <c r="M649" s="566"/>
      <c r="N649" s="460"/>
      <c r="O649" s="459"/>
      <c r="P649" s="4"/>
    </row>
    <row r="650" spans="3:16">
      <c r="C650" s="449">
        <f>IF(D631="","-",+C649+1)</f>
        <v>2029</v>
      </c>
      <c r="D650" s="412">
        <f t="shared" si="43"/>
        <v>20756036.639361329</v>
      </c>
      <c r="E650" s="456">
        <f t="shared" si="46"/>
        <v>771122.10424871789</v>
      </c>
      <c r="F650" s="412">
        <f t="shared" si="41"/>
        <v>19984914.535112612</v>
      </c>
      <c r="G650" s="851">
        <f t="shared" si="44"/>
        <v>3050704.4264018345</v>
      </c>
      <c r="H650" s="854">
        <f t="shared" si="45"/>
        <v>3050704.4264018345</v>
      </c>
      <c r="I650" s="453">
        <f t="shared" si="42"/>
        <v>0</v>
      </c>
      <c r="J650" s="453"/>
      <c r="K650" s="566"/>
      <c r="L650" s="459"/>
      <c r="M650" s="566"/>
      <c r="N650" s="459"/>
      <c r="O650" s="459"/>
      <c r="P650" s="4"/>
    </row>
    <row r="651" spans="3:16">
      <c r="C651" s="449">
        <f>IF(D631="","-",+C650+1)</f>
        <v>2030</v>
      </c>
      <c r="D651" s="412">
        <f t="shared" si="43"/>
        <v>19984914.535112612</v>
      </c>
      <c r="E651" s="456">
        <f t="shared" si="46"/>
        <v>771122.10424871789</v>
      </c>
      <c r="F651" s="412">
        <f t="shared" si="41"/>
        <v>19213792.430863895</v>
      </c>
      <c r="G651" s="851">
        <f t="shared" si="44"/>
        <v>2964411.0892856284</v>
      </c>
      <c r="H651" s="854">
        <f t="shared" si="45"/>
        <v>2964411.0892856284</v>
      </c>
      <c r="I651" s="453">
        <f t="shared" si="42"/>
        <v>0</v>
      </c>
      <c r="J651" s="453"/>
      <c r="K651" s="566"/>
      <c r="L651" s="459"/>
      <c r="M651" s="566"/>
      <c r="N651" s="459"/>
      <c r="O651" s="459"/>
      <c r="P651" s="4"/>
    </row>
    <row r="652" spans="3:16">
      <c r="C652" s="449">
        <f>IF(D631="","-",+C651+1)</f>
        <v>2031</v>
      </c>
      <c r="D652" s="412">
        <f t="shared" si="43"/>
        <v>19213792.430863895</v>
      </c>
      <c r="E652" s="456">
        <f t="shared" si="46"/>
        <v>771122.10424871789</v>
      </c>
      <c r="F652" s="412">
        <f t="shared" si="41"/>
        <v>18442670.326615177</v>
      </c>
      <c r="G652" s="851">
        <f t="shared" si="44"/>
        <v>2878117.7521694223</v>
      </c>
      <c r="H652" s="854">
        <f t="shared" si="45"/>
        <v>2878117.7521694223</v>
      </c>
      <c r="I652" s="453">
        <f t="shared" si="42"/>
        <v>0</v>
      </c>
      <c r="J652" s="453"/>
      <c r="K652" s="566"/>
      <c r="L652" s="459"/>
      <c r="M652" s="566"/>
      <c r="N652" s="459"/>
      <c r="O652" s="459"/>
      <c r="P652" s="4"/>
    </row>
    <row r="653" spans="3:16">
      <c r="C653" s="449">
        <f>IF(D631="","-",+C652+1)</f>
        <v>2032</v>
      </c>
      <c r="D653" s="412">
        <f t="shared" si="43"/>
        <v>18442670.326615177</v>
      </c>
      <c r="E653" s="456">
        <f t="shared" si="46"/>
        <v>771122.10424871789</v>
      </c>
      <c r="F653" s="412">
        <f t="shared" si="41"/>
        <v>17671548.22236646</v>
      </c>
      <c r="G653" s="851">
        <f t="shared" si="44"/>
        <v>2791824.4150532158</v>
      </c>
      <c r="H653" s="854">
        <f t="shared" si="45"/>
        <v>2791824.4150532158</v>
      </c>
      <c r="I653" s="453">
        <f t="shared" si="42"/>
        <v>0</v>
      </c>
      <c r="J653" s="453"/>
      <c r="K653" s="566"/>
      <c r="L653" s="459"/>
      <c r="M653" s="566"/>
      <c r="N653" s="459"/>
      <c r="O653" s="459"/>
      <c r="P653" s="4"/>
    </row>
    <row r="654" spans="3:16">
      <c r="C654" s="449">
        <f>IF(D631="","-",+C653+1)</f>
        <v>2033</v>
      </c>
      <c r="D654" s="412">
        <f t="shared" si="43"/>
        <v>17671548.22236646</v>
      </c>
      <c r="E654" s="456">
        <f t="shared" si="46"/>
        <v>771122.10424871789</v>
      </c>
      <c r="F654" s="412">
        <f t="shared" si="41"/>
        <v>16900426.118117742</v>
      </c>
      <c r="G654" s="851">
        <f t="shared" si="44"/>
        <v>2705531.0779370097</v>
      </c>
      <c r="H654" s="854">
        <f t="shared" si="45"/>
        <v>2705531.0779370097</v>
      </c>
      <c r="I654" s="453">
        <f t="shared" si="42"/>
        <v>0</v>
      </c>
      <c r="J654" s="453"/>
      <c r="K654" s="566"/>
      <c r="L654" s="459"/>
      <c r="M654" s="566"/>
      <c r="N654" s="459"/>
      <c r="O654" s="459"/>
      <c r="P654" s="4"/>
    </row>
    <row r="655" spans="3:16">
      <c r="C655" s="449">
        <f>IF(D631="","-",+C654+1)</f>
        <v>2034</v>
      </c>
      <c r="D655" s="412">
        <f t="shared" si="43"/>
        <v>16900426.118117742</v>
      </c>
      <c r="E655" s="456">
        <f t="shared" si="46"/>
        <v>771122.10424871789</v>
      </c>
      <c r="F655" s="412">
        <f t="shared" si="41"/>
        <v>16129304.013869025</v>
      </c>
      <c r="G655" s="851">
        <f t="shared" si="44"/>
        <v>2619237.7408208037</v>
      </c>
      <c r="H655" s="854">
        <f t="shared" si="45"/>
        <v>2619237.7408208037</v>
      </c>
      <c r="I655" s="453">
        <f t="shared" si="42"/>
        <v>0</v>
      </c>
      <c r="J655" s="453"/>
      <c r="K655" s="566"/>
      <c r="L655" s="459"/>
      <c r="M655" s="566"/>
      <c r="N655" s="459"/>
      <c r="O655" s="459"/>
      <c r="P655" s="4"/>
    </row>
    <row r="656" spans="3:16">
      <c r="C656" s="449">
        <f>IF(D631="","-",+C655+1)</f>
        <v>2035</v>
      </c>
      <c r="D656" s="412">
        <f t="shared" si="43"/>
        <v>16129304.013869025</v>
      </c>
      <c r="E656" s="456">
        <f t="shared" si="46"/>
        <v>771122.10424871789</v>
      </c>
      <c r="F656" s="412">
        <f t="shared" si="41"/>
        <v>15358181.909620307</v>
      </c>
      <c r="G656" s="851">
        <f t="shared" si="44"/>
        <v>2532944.4037045971</v>
      </c>
      <c r="H656" s="854">
        <f t="shared" si="45"/>
        <v>2532944.4037045971</v>
      </c>
      <c r="I656" s="453">
        <f t="shared" si="42"/>
        <v>0</v>
      </c>
      <c r="J656" s="453"/>
      <c r="K656" s="566"/>
      <c r="L656" s="459"/>
      <c r="M656" s="566"/>
      <c r="N656" s="459"/>
      <c r="O656" s="459"/>
      <c r="P656" s="4"/>
    </row>
    <row r="657" spans="3:16">
      <c r="C657" s="449">
        <f>IF(D631="","-",+C656+1)</f>
        <v>2036</v>
      </c>
      <c r="D657" s="412">
        <f t="shared" si="43"/>
        <v>15358181.909620307</v>
      </c>
      <c r="E657" s="456">
        <f t="shared" si="46"/>
        <v>771122.10424871789</v>
      </c>
      <c r="F657" s="412">
        <f t="shared" si="41"/>
        <v>14587059.80537159</v>
      </c>
      <c r="G657" s="851">
        <f t="shared" si="44"/>
        <v>2446651.0665883906</v>
      </c>
      <c r="H657" s="854">
        <f t="shared" si="45"/>
        <v>2446651.0665883906</v>
      </c>
      <c r="I657" s="453">
        <f t="shared" si="42"/>
        <v>0</v>
      </c>
      <c r="J657" s="453"/>
      <c r="K657" s="566"/>
      <c r="L657" s="459"/>
      <c r="M657" s="566"/>
      <c r="N657" s="459"/>
      <c r="O657" s="459"/>
      <c r="P657" s="4"/>
    </row>
    <row r="658" spans="3:16">
      <c r="C658" s="449">
        <f>IF(D631="","-",+C657+1)</f>
        <v>2037</v>
      </c>
      <c r="D658" s="412">
        <f t="shared" si="43"/>
        <v>14587059.80537159</v>
      </c>
      <c r="E658" s="456">
        <f t="shared" si="46"/>
        <v>771122.10424871789</v>
      </c>
      <c r="F658" s="412">
        <f t="shared" si="41"/>
        <v>13815937.701122873</v>
      </c>
      <c r="G658" s="851">
        <f t="shared" si="44"/>
        <v>2360357.7294721846</v>
      </c>
      <c r="H658" s="854">
        <f t="shared" si="45"/>
        <v>2360357.7294721846</v>
      </c>
      <c r="I658" s="453">
        <f t="shared" si="42"/>
        <v>0</v>
      </c>
      <c r="J658" s="453"/>
      <c r="K658" s="566"/>
      <c r="L658" s="459"/>
      <c r="M658" s="566"/>
      <c r="N658" s="459"/>
      <c r="O658" s="459"/>
      <c r="P658" s="4"/>
    </row>
    <row r="659" spans="3:16">
      <c r="C659" s="449">
        <f>IF(D631="","-",+C658+1)</f>
        <v>2038</v>
      </c>
      <c r="D659" s="412">
        <f t="shared" si="43"/>
        <v>13815937.701122873</v>
      </c>
      <c r="E659" s="456">
        <f t="shared" si="46"/>
        <v>771122.10424871789</v>
      </c>
      <c r="F659" s="412">
        <f t="shared" si="41"/>
        <v>13044815.596874155</v>
      </c>
      <c r="G659" s="851">
        <f t="shared" si="44"/>
        <v>2274064.3923559785</v>
      </c>
      <c r="H659" s="854">
        <f t="shared" si="45"/>
        <v>2274064.3923559785</v>
      </c>
      <c r="I659" s="453">
        <f t="shared" si="42"/>
        <v>0</v>
      </c>
      <c r="J659" s="453"/>
      <c r="K659" s="566"/>
      <c r="L659" s="459"/>
      <c r="M659" s="566"/>
      <c r="N659" s="459"/>
      <c r="O659" s="459"/>
      <c r="P659" s="4"/>
    </row>
    <row r="660" spans="3:16">
      <c r="C660" s="449">
        <f>IF(D631="","-",+C659+1)</f>
        <v>2039</v>
      </c>
      <c r="D660" s="412">
        <f t="shared" si="43"/>
        <v>13044815.596874155</v>
      </c>
      <c r="E660" s="456">
        <f t="shared" si="46"/>
        <v>771122.10424871789</v>
      </c>
      <c r="F660" s="412">
        <f t="shared" si="41"/>
        <v>12273693.492625438</v>
      </c>
      <c r="G660" s="851">
        <f t="shared" si="44"/>
        <v>2187771.0552397724</v>
      </c>
      <c r="H660" s="854">
        <f t="shared" si="45"/>
        <v>2187771.0552397724</v>
      </c>
      <c r="I660" s="453">
        <f t="shared" si="42"/>
        <v>0</v>
      </c>
      <c r="J660" s="453"/>
      <c r="K660" s="566"/>
      <c r="L660" s="459"/>
      <c r="M660" s="566"/>
      <c r="N660" s="459"/>
      <c r="O660" s="459"/>
      <c r="P660" s="4"/>
    </row>
    <row r="661" spans="3:16">
      <c r="C661" s="449">
        <f>IF(D631="","-",+C660+1)</f>
        <v>2040</v>
      </c>
      <c r="D661" s="412">
        <f t="shared" si="43"/>
        <v>12273693.492625438</v>
      </c>
      <c r="E661" s="456">
        <f t="shared" si="46"/>
        <v>771122.10424871789</v>
      </c>
      <c r="F661" s="412">
        <f t="shared" si="41"/>
        <v>11502571.38837672</v>
      </c>
      <c r="G661" s="851">
        <f t="shared" si="44"/>
        <v>2101477.7181235664</v>
      </c>
      <c r="H661" s="854">
        <f t="shared" si="45"/>
        <v>2101477.7181235664</v>
      </c>
      <c r="I661" s="453">
        <f t="shared" si="42"/>
        <v>0</v>
      </c>
      <c r="J661" s="453"/>
      <c r="K661" s="566"/>
      <c r="L661" s="459"/>
      <c r="M661" s="566"/>
      <c r="N661" s="459"/>
      <c r="O661" s="459"/>
      <c r="P661" s="4"/>
    </row>
    <row r="662" spans="3:16">
      <c r="C662" s="449">
        <f>IF(D631="","-",+C661+1)</f>
        <v>2041</v>
      </c>
      <c r="D662" s="412">
        <f t="shared" si="43"/>
        <v>11502571.38837672</v>
      </c>
      <c r="E662" s="456">
        <f t="shared" si="46"/>
        <v>771122.10424871789</v>
      </c>
      <c r="F662" s="412">
        <f t="shared" si="41"/>
        <v>10731449.284128003</v>
      </c>
      <c r="G662" s="851">
        <f t="shared" si="44"/>
        <v>2015184.3810073598</v>
      </c>
      <c r="H662" s="854">
        <f t="shared" si="45"/>
        <v>2015184.3810073598</v>
      </c>
      <c r="I662" s="453">
        <f t="shared" si="42"/>
        <v>0</v>
      </c>
      <c r="J662" s="453"/>
      <c r="K662" s="566"/>
      <c r="L662" s="459"/>
      <c r="M662" s="566"/>
      <c r="N662" s="459"/>
      <c r="O662" s="459"/>
      <c r="P662" s="4"/>
    </row>
    <row r="663" spans="3:16">
      <c r="C663" s="449">
        <f>IF(D631="","-",+C662+1)</f>
        <v>2042</v>
      </c>
      <c r="D663" s="412">
        <f t="shared" si="43"/>
        <v>10731449.284128003</v>
      </c>
      <c r="E663" s="456">
        <f t="shared" si="46"/>
        <v>771122.10424871789</v>
      </c>
      <c r="F663" s="412">
        <f t="shared" si="41"/>
        <v>9960327.1798792854</v>
      </c>
      <c r="G663" s="851">
        <f t="shared" si="44"/>
        <v>1928891.0438911535</v>
      </c>
      <c r="H663" s="854">
        <f t="shared" si="45"/>
        <v>1928891.0438911535</v>
      </c>
      <c r="I663" s="453">
        <f t="shared" si="42"/>
        <v>0</v>
      </c>
      <c r="J663" s="453"/>
      <c r="K663" s="566"/>
      <c r="L663" s="459"/>
      <c r="M663" s="566"/>
      <c r="N663" s="459"/>
      <c r="O663" s="459"/>
      <c r="P663" s="4"/>
    </row>
    <row r="664" spans="3:16">
      <c r="C664" s="449">
        <f>IF(D631="","-",+C663+1)</f>
        <v>2043</v>
      </c>
      <c r="D664" s="412">
        <f t="shared" si="43"/>
        <v>9960327.1798792854</v>
      </c>
      <c r="E664" s="456">
        <f t="shared" si="46"/>
        <v>771122.10424871789</v>
      </c>
      <c r="F664" s="412">
        <f t="shared" si="41"/>
        <v>9189205.075630568</v>
      </c>
      <c r="G664" s="851">
        <f t="shared" si="44"/>
        <v>1842597.7067749472</v>
      </c>
      <c r="H664" s="854">
        <f t="shared" si="45"/>
        <v>1842597.7067749472</v>
      </c>
      <c r="I664" s="453">
        <f t="shared" si="42"/>
        <v>0</v>
      </c>
      <c r="J664" s="453"/>
      <c r="K664" s="566"/>
      <c r="L664" s="459"/>
      <c r="M664" s="566"/>
      <c r="N664" s="459"/>
      <c r="O664" s="459"/>
      <c r="P664" s="4"/>
    </row>
    <row r="665" spans="3:16">
      <c r="C665" s="449">
        <f>IF(D631="","-",+C664+1)</f>
        <v>2044</v>
      </c>
      <c r="D665" s="412">
        <f t="shared" si="43"/>
        <v>9189205.075630568</v>
      </c>
      <c r="E665" s="456">
        <f t="shared" si="46"/>
        <v>771122.10424871789</v>
      </c>
      <c r="F665" s="412">
        <f t="shared" si="41"/>
        <v>8418082.9713818505</v>
      </c>
      <c r="G665" s="860">
        <f t="shared" si="44"/>
        <v>1756304.3696587412</v>
      </c>
      <c r="H665" s="854">
        <f t="shared" si="45"/>
        <v>1756304.3696587412</v>
      </c>
      <c r="I665" s="453">
        <f t="shared" si="42"/>
        <v>0</v>
      </c>
      <c r="J665" s="453"/>
      <c r="K665" s="566"/>
      <c r="L665" s="459"/>
      <c r="M665" s="566"/>
      <c r="N665" s="459"/>
      <c r="O665" s="459"/>
      <c r="P665" s="4"/>
    </row>
    <row r="666" spans="3:16">
      <c r="C666" s="449">
        <f>IF(D631="","-",+C665+1)</f>
        <v>2045</v>
      </c>
      <c r="D666" s="412">
        <f t="shared" si="43"/>
        <v>8418082.9713818505</v>
      </c>
      <c r="E666" s="456">
        <f t="shared" si="46"/>
        <v>771122.10424871789</v>
      </c>
      <c r="F666" s="412">
        <f t="shared" si="41"/>
        <v>7646960.8671331331</v>
      </c>
      <c r="G666" s="851">
        <f t="shared" si="44"/>
        <v>1670011.0325425349</v>
      </c>
      <c r="H666" s="854">
        <f t="shared" si="45"/>
        <v>1670011.0325425349</v>
      </c>
      <c r="I666" s="453">
        <f t="shared" si="42"/>
        <v>0</v>
      </c>
      <c r="J666" s="453"/>
      <c r="K666" s="566"/>
      <c r="L666" s="459"/>
      <c r="M666" s="566"/>
      <c r="N666" s="459"/>
      <c r="O666" s="459"/>
      <c r="P666" s="4"/>
    </row>
    <row r="667" spans="3:16">
      <c r="C667" s="449">
        <f>IF(D631="","-",+C666+1)</f>
        <v>2046</v>
      </c>
      <c r="D667" s="412">
        <f t="shared" si="43"/>
        <v>7646960.8671331331</v>
      </c>
      <c r="E667" s="456">
        <f t="shared" si="46"/>
        <v>771122.10424871789</v>
      </c>
      <c r="F667" s="412">
        <f t="shared" si="41"/>
        <v>6875838.7628844157</v>
      </c>
      <c r="G667" s="851">
        <f t="shared" si="44"/>
        <v>1583717.6954263286</v>
      </c>
      <c r="H667" s="854">
        <f t="shared" si="45"/>
        <v>1583717.6954263286</v>
      </c>
      <c r="I667" s="453">
        <f t="shared" si="42"/>
        <v>0</v>
      </c>
      <c r="J667" s="453"/>
      <c r="K667" s="566"/>
      <c r="L667" s="459"/>
      <c r="M667" s="566"/>
      <c r="N667" s="459"/>
      <c r="O667" s="459"/>
      <c r="P667" s="4"/>
    </row>
    <row r="668" spans="3:16">
      <c r="C668" s="449">
        <f>IF(D631="","-",+C667+1)</f>
        <v>2047</v>
      </c>
      <c r="D668" s="412">
        <f t="shared" si="43"/>
        <v>6875838.7628844157</v>
      </c>
      <c r="E668" s="456">
        <f t="shared" si="46"/>
        <v>771122.10424871789</v>
      </c>
      <c r="F668" s="412">
        <f t="shared" si="41"/>
        <v>6104716.6586356983</v>
      </c>
      <c r="G668" s="851">
        <f t="shared" si="44"/>
        <v>1497424.3583101225</v>
      </c>
      <c r="H668" s="854">
        <f t="shared" si="45"/>
        <v>1497424.3583101225</v>
      </c>
      <c r="I668" s="453">
        <f t="shared" si="42"/>
        <v>0</v>
      </c>
      <c r="J668" s="453"/>
      <c r="K668" s="566"/>
      <c r="L668" s="459"/>
      <c r="M668" s="566"/>
      <c r="N668" s="459"/>
      <c r="O668" s="459"/>
      <c r="P668" s="4"/>
    </row>
    <row r="669" spans="3:16">
      <c r="C669" s="449">
        <f>IF(D631="","-",+C668+1)</f>
        <v>2048</v>
      </c>
      <c r="D669" s="412">
        <f t="shared" si="43"/>
        <v>6104716.6586356983</v>
      </c>
      <c r="E669" s="456">
        <f t="shared" si="46"/>
        <v>771122.10424871789</v>
      </c>
      <c r="F669" s="412">
        <f t="shared" si="41"/>
        <v>5333594.5543869808</v>
      </c>
      <c r="G669" s="851">
        <f t="shared" si="44"/>
        <v>1411131.0211939162</v>
      </c>
      <c r="H669" s="854">
        <f t="shared" si="45"/>
        <v>1411131.0211939162</v>
      </c>
      <c r="I669" s="453">
        <f t="shared" si="42"/>
        <v>0</v>
      </c>
      <c r="J669" s="453"/>
      <c r="K669" s="566"/>
      <c r="L669" s="459"/>
      <c r="M669" s="566"/>
      <c r="N669" s="459"/>
      <c r="O669" s="459"/>
      <c r="P669" s="4"/>
    </row>
    <row r="670" spans="3:16">
      <c r="C670" s="449">
        <f>IF(D631="","-",+C669+1)</f>
        <v>2049</v>
      </c>
      <c r="D670" s="412">
        <f t="shared" si="43"/>
        <v>5333594.5543869808</v>
      </c>
      <c r="E670" s="456">
        <f t="shared" si="46"/>
        <v>771122.10424871789</v>
      </c>
      <c r="F670" s="412">
        <f t="shared" si="41"/>
        <v>4562472.4501382634</v>
      </c>
      <c r="G670" s="851">
        <f t="shared" si="44"/>
        <v>1324837.6840777099</v>
      </c>
      <c r="H670" s="854">
        <f t="shared" si="45"/>
        <v>1324837.6840777099</v>
      </c>
      <c r="I670" s="453">
        <f t="shared" si="42"/>
        <v>0</v>
      </c>
      <c r="J670" s="453"/>
      <c r="K670" s="566"/>
      <c r="L670" s="459"/>
      <c r="M670" s="566"/>
      <c r="N670" s="459"/>
      <c r="O670" s="459"/>
      <c r="P670" s="4"/>
    </row>
    <row r="671" spans="3:16">
      <c r="C671" s="449">
        <f>IF(D631="","-",+C670+1)</f>
        <v>2050</v>
      </c>
      <c r="D671" s="412">
        <f t="shared" si="43"/>
        <v>4562472.4501382634</v>
      </c>
      <c r="E671" s="456">
        <f t="shared" si="46"/>
        <v>771122.10424871789</v>
      </c>
      <c r="F671" s="412">
        <f t="shared" si="41"/>
        <v>3791350.3458895455</v>
      </c>
      <c r="G671" s="851">
        <f t="shared" si="44"/>
        <v>1238544.3469615038</v>
      </c>
      <c r="H671" s="854">
        <f t="shared" si="45"/>
        <v>1238544.3469615038</v>
      </c>
      <c r="I671" s="453">
        <f t="shared" si="42"/>
        <v>0</v>
      </c>
      <c r="J671" s="453"/>
      <c r="K671" s="566"/>
      <c r="L671" s="459"/>
      <c r="M671" s="566"/>
      <c r="N671" s="459"/>
      <c r="O671" s="459"/>
      <c r="P671" s="4"/>
    </row>
    <row r="672" spans="3:16">
      <c r="C672" s="449">
        <f>IF(D631="","-",+C671+1)</f>
        <v>2051</v>
      </c>
      <c r="D672" s="412">
        <f t="shared" si="43"/>
        <v>3791350.3458895455</v>
      </c>
      <c r="E672" s="456">
        <f t="shared" si="46"/>
        <v>771122.10424871789</v>
      </c>
      <c r="F672" s="412">
        <f t="shared" si="41"/>
        <v>3020228.2416408276</v>
      </c>
      <c r="G672" s="851">
        <f t="shared" si="44"/>
        <v>1152251.0098452973</v>
      </c>
      <c r="H672" s="854">
        <f t="shared" si="45"/>
        <v>1152251.0098452973</v>
      </c>
      <c r="I672" s="453">
        <f t="shared" si="42"/>
        <v>0</v>
      </c>
      <c r="J672" s="453"/>
      <c r="K672" s="566"/>
      <c r="L672" s="459"/>
      <c r="M672" s="566"/>
      <c r="N672" s="459"/>
      <c r="O672" s="459"/>
      <c r="P672" s="4"/>
    </row>
    <row r="673" spans="3:16">
      <c r="C673" s="449">
        <f>IF(D631="","-",+C672+1)</f>
        <v>2052</v>
      </c>
      <c r="D673" s="412">
        <f t="shared" si="43"/>
        <v>3020228.2416408276</v>
      </c>
      <c r="E673" s="456">
        <f t="shared" si="46"/>
        <v>771122.10424871789</v>
      </c>
      <c r="F673" s="412">
        <f t="shared" si="41"/>
        <v>2249106.1373921097</v>
      </c>
      <c r="G673" s="851">
        <f t="shared" si="44"/>
        <v>1065957.6727290913</v>
      </c>
      <c r="H673" s="854">
        <f t="shared" si="45"/>
        <v>1065957.6727290913</v>
      </c>
      <c r="I673" s="453">
        <f t="shared" si="42"/>
        <v>0</v>
      </c>
      <c r="J673" s="453"/>
      <c r="K673" s="566"/>
      <c r="L673" s="459"/>
      <c r="M673" s="566"/>
      <c r="N673" s="459"/>
      <c r="O673" s="459"/>
      <c r="P673" s="4"/>
    </row>
    <row r="674" spans="3:16">
      <c r="C674" s="449">
        <f>IF(D631="","-",+C673+1)</f>
        <v>2053</v>
      </c>
      <c r="D674" s="412">
        <f t="shared" si="43"/>
        <v>2249106.1373921097</v>
      </c>
      <c r="E674" s="456">
        <f t="shared" si="46"/>
        <v>771122.10424871789</v>
      </c>
      <c r="F674" s="412">
        <f t="shared" si="41"/>
        <v>1477984.0331433918</v>
      </c>
      <c r="G674" s="851">
        <f t="shared" si="44"/>
        <v>979664.33561288484</v>
      </c>
      <c r="H674" s="854">
        <f t="shared" si="45"/>
        <v>979664.33561288484</v>
      </c>
      <c r="I674" s="453">
        <f t="shared" si="42"/>
        <v>0</v>
      </c>
      <c r="J674" s="453"/>
      <c r="K674" s="566"/>
      <c r="L674" s="459"/>
      <c r="M674" s="566"/>
      <c r="N674" s="459"/>
      <c r="O674" s="459"/>
      <c r="P674" s="4"/>
    </row>
    <row r="675" spans="3:16">
      <c r="C675" s="449">
        <f>IF(D631="","-",+C674+1)</f>
        <v>2054</v>
      </c>
      <c r="D675" s="412">
        <f t="shared" si="43"/>
        <v>1477984.0331433918</v>
      </c>
      <c r="E675" s="456">
        <f t="shared" si="46"/>
        <v>771122.10424871789</v>
      </c>
      <c r="F675" s="412">
        <f t="shared" si="41"/>
        <v>706861.92889467394</v>
      </c>
      <c r="G675" s="851">
        <f t="shared" si="44"/>
        <v>893370.99849667854</v>
      </c>
      <c r="H675" s="854">
        <f t="shared" si="45"/>
        <v>893370.99849667854</v>
      </c>
      <c r="I675" s="453">
        <f t="shared" si="42"/>
        <v>0</v>
      </c>
      <c r="J675" s="453"/>
      <c r="K675" s="566"/>
      <c r="L675" s="459"/>
      <c r="M675" s="566"/>
      <c r="N675" s="459"/>
      <c r="O675" s="459"/>
      <c r="P675" s="4"/>
    </row>
    <row r="676" spans="3:16">
      <c r="C676" s="449">
        <f>IF(D631="","-",+C675+1)</f>
        <v>2055</v>
      </c>
      <c r="D676" s="412">
        <f t="shared" si="43"/>
        <v>706861.92889467394</v>
      </c>
      <c r="E676" s="456">
        <f t="shared" si="46"/>
        <v>706861.92889467394</v>
      </c>
      <c r="F676" s="412">
        <f t="shared" si="41"/>
        <v>0</v>
      </c>
      <c r="G676" s="851">
        <f t="shared" si="44"/>
        <v>746413.04173960269</v>
      </c>
      <c r="H676" s="854">
        <f t="shared" si="45"/>
        <v>746413.04173960269</v>
      </c>
      <c r="I676" s="453">
        <f t="shared" si="42"/>
        <v>0</v>
      </c>
      <c r="J676" s="453"/>
      <c r="K676" s="566"/>
      <c r="L676" s="459"/>
      <c r="M676" s="566"/>
      <c r="N676" s="459"/>
      <c r="O676" s="459"/>
      <c r="P676" s="4"/>
    </row>
    <row r="677" spans="3:16">
      <c r="C677" s="449">
        <f>IF(D631="","-",+C676+1)</f>
        <v>2056</v>
      </c>
      <c r="D677" s="412">
        <f t="shared" si="43"/>
        <v>0</v>
      </c>
      <c r="E677" s="456">
        <f t="shared" si="46"/>
        <v>0</v>
      </c>
      <c r="F677" s="412">
        <f t="shared" si="41"/>
        <v>0</v>
      </c>
      <c r="G677" s="851">
        <f t="shared" si="44"/>
        <v>0</v>
      </c>
      <c r="H677" s="854">
        <f t="shared" si="45"/>
        <v>0</v>
      </c>
      <c r="I677" s="453">
        <f t="shared" si="42"/>
        <v>0</v>
      </c>
      <c r="J677" s="453"/>
      <c r="K677" s="566"/>
      <c r="L677" s="459"/>
      <c r="M677" s="566"/>
      <c r="N677" s="459"/>
      <c r="O677" s="459"/>
      <c r="P677" s="4"/>
    </row>
    <row r="678" spans="3:16">
      <c r="C678" s="449">
        <f>IF(D631="","-",+C677+1)</f>
        <v>2057</v>
      </c>
      <c r="D678" s="412">
        <f t="shared" si="43"/>
        <v>0</v>
      </c>
      <c r="E678" s="456">
        <f t="shared" si="46"/>
        <v>0</v>
      </c>
      <c r="F678" s="412">
        <f t="shared" si="41"/>
        <v>0</v>
      </c>
      <c r="G678" s="851">
        <f t="shared" si="44"/>
        <v>0</v>
      </c>
      <c r="H678" s="854">
        <f t="shared" si="45"/>
        <v>0</v>
      </c>
      <c r="I678" s="453">
        <f t="shared" si="42"/>
        <v>0</v>
      </c>
      <c r="J678" s="453"/>
      <c r="K678" s="566"/>
      <c r="L678" s="459"/>
      <c r="M678" s="566"/>
      <c r="N678" s="459"/>
      <c r="O678" s="459"/>
      <c r="P678" s="4"/>
    </row>
    <row r="679" spans="3:16">
      <c r="C679" s="449">
        <f>IF(D631="","-",+C678+1)</f>
        <v>2058</v>
      </c>
      <c r="D679" s="412">
        <f t="shared" si="43"/>
        <v>0</v>
      </c>
      <c r="E679" s="456">
        <f t="shared" si="46"/>
        <v>0</v>
      </c>
      <c r="F679" s="412">
        <f t="shared" si="41"/>
        <v>0</v>
      </c>
      <c r="G679" s="851">
        <f t="shared" si="44"/>
        <v>0</v>
      </c>
      <c r="H679" s="854">
        <f t="shared" si="45"/>
        <v>0</v>
      </c>
      <c r="I679" s="453">
        <f t="shared" si="42"/>
        <v>0</v>
      </c>
      <c r="J679" s="453"/>
      <c r="K679" s="566"/>
      <c r="L679" s="459"/>
      <c r="M679" s="566"/>
      <c r="N679" s="459"/>
      <c r="O679" s="459"/>
      <c r="P679" s="4"/>
    </row>
    <row r="680" spans="3:16">
      <c r="C680" s="449">
        <f>IF(D631="","-",+C679+1)</f>
        <v>2059</v>
      </c>
      <c r="D680" s="412">
        <f t="shared" si="43"/>
        <v>0</v>
      </c>
      <c r="E680" s="456">
        <f t="shared" si="46"/>
        <v>0</v>
      </c>
      <c r="F680" s="412">
        <f t="shared" si="41"/>
        <v>0</v>
      </c>
      <c r="G680" s="851">
        <f t="shared" si="44"/>
        <v>0</v>
      </c>
      <c r="H680" s="854">
        <f t="shared" si="45"/>
        <v>0</v>
      </c>
      <c r="I680" s="453">
        <f t="shared" si="42"/>
        <v>0</v>
      </c>
      <c r="J680" s="453"/>
      <c r="K680" s="566"/>
      <c r="L680" s="459"/>
      <c r="M680" s="566"/>
      <c r="N680" s="459"/>
      <c r="O680" s="459"/>
      <c r="P680" s="4"/>
    </row>
    <row r="681" spans="3:16">
      <c r="C681" s="449">
        <f>IF(D631="","-",+C680+1)</f>
        <v>2060</v>
      </c>
      <c r="D681" s="412">
        <f t="shared" si="43"/>
        <v>0</v>
      </c>
      <c r="E681" s="456">
        <f t="shared" si="46"/>
        <v>0</v>
      </c>
      <c r="F681" s="412">
        <f t="shared" si="41"/>
        <v>0</v>
      </c>
      <c r="G681" s="851">
        <f t="shared" si="44"/>
        <v>0</v>
      </c>
      <c r="H681" s="854">
        <f t="shared" si="45"/>
        <v>0</v>
      </c>
      <c r="I681" s="453">
        <f t="shared" si="42"/>
        <v>0</v>
      </c>
      <c r="J681" s="453"/>
      <c r="K681" s="566"/>
      <c r="L681" s="459"/>
      <c r="M681" s="566"/>
      <c r="N681" s="459"/>
      <c r="O681" s="459"/>
      <c r="P681" s="4"/>
    </row>
    <row r="682" spans="3:16">
      <c r="C682" s="449">
        <f>IF(D631="","-",+C681+1)</f>
        <v>2061</v>
      </c>
      <c r="D682" s="412">
        <f t="shared" si="43"/>
        <v>0</v>
      </c>
      <c r="E682" s="456">
        <f t="shared" si="46"/>
        <v>0</v>
      </c>
      <c r="F682" s="412">
        <f t="shared" si="41"/>
        <v>0</v>
      </c>
      <c r="G682" s="851">
        <f t="shared" si="44"/>
        <v>0</v>
      </c>
      <c r="H682" s="854">
        <f t="shared" si="45"/>
        <v>0</v>
      </c>
      <c r="I682" s="453">
        <f t="shared" si="42"/>
        <v>0</v>
      </c>
      <c r="J682" s="453"/>
      <c r="K682" s="566"/>
      <c r="L682" s="459"/>
      <c r="M682" s="566"/>
      <c r="N682" s="459"/>
      <c r="O682" s="459"/>
      <c r="P682" s="4"/>
    </row>
    <row r="683" spans="3:16">
      <c r="C683" s="449">
        <f>IF(D631="","-",+C682+1)</f>
        <v>2062</v>
      </c>
      <c r="D683" s="412">
        <f t="shared" si="43"/>
        <v>0</v>
      </c>
      <c r="E683" s="456">
        <f t="shared" si="46"/>
        <v>0</v>
      </c>
      <c r="F683" s="412">
        <f t="shared" si="41"/>
        <v>0</v>
      </c>
      <c r="G683" s="851">
        <f t="shared" si="44"/>
        <v>0</v>
      </c>
      <c r="H683" s="854">
        <f t="shared" si="45"/>
        <v>0</v>
      </c>
      <c r="I683" s="453">
        <f t="shared" si="42"/>
        <v>0</v>
      </c>
      <c r="J683" s="453"/>
      <c r="K683" s="566"/>
      <c r="L683" s="459"/>
      <c r="M683" s="566"/>
      <c r="N683" s="459"/>
      <c r="O683" s="459"/>
      <c r="P683" s="4"/>
    </row>
    <row r="684" spans="3:16">
      <c r="C684" s="449">
        <f>IF(D631="","-",+C683+1)</f>
        <v>2063</v>
      </c>
      <c r="D684" s="412">
        <f t="shared" si="43"/>
        <v>0</v>
      </c>
      <c r="E684" s="456">
        <f t="shared" si="46"/>
        <v>0</v>
      </c>
      <c r="F684" s="412">
        <f t="shared" si="41"/>
        <v>0</v>
      </c>
      <c r="G684" s="851">
        <f t="shared" si="44"/>
        <v>0</v>
      </c>
      <c r="H684" s="854">
        <f t="shared" si="45"/>
        <v>0</v>
      </c>
      <c r="I684" s="453">
        <f t="shared" si="42"/>
        <v>0</v>
      </c>
      <c r="J684" s="453"/>
      <c r="K684" s="566"/>
      <c r="L684" s="459"/>
      <c r="M684" s="566"/>
      <c r="N684" s="459"/>
      <c r="O684" s="459"/>
      <c r="P684" s="4"/>
    </row>
    <row r="685" spans="3:16">
      <c r="C685" s="449">
        <f>IF(D631="","-",+C684+1)</f>
        <v>2064</v>
      </c>
      <c r="D685" s="412">
        <f t="shared" si="43"/>
        <v>0</v>
      </c>
      <c r="E685" s="456">
        <f t="shared" si="46"/>
        <v>0</v>
      </c>
      <c r="F685" s="412">
        <f t="shared" si="41"/>
        <v>0</v>
      </c>
      <c r="G685" s="851">
        <f t="shared" si="44"/>
        <v>0</v>
      </c>
      <c r="H685" s="854">
        <f t="shared" si="45"/>
        <v>0</v>
      </c>
      <c r="I685" s="453">
        <f t="shared" si="42"/>
        <v>0</v>
      </c>
      <c r="J685" s="453"/>
      <c r="K685" s="566"/>
      <c r="L685" s="459"/>
      <c r="M685" s="566"/>
      <c r="N685" s="459"/>
      <c r="O685" s="459"/>
      <c r="P685" s="4"/>
    </row>
    <row r="686" spans="3:16">
      <c r="C686" s="449">
        <f>IF(D631="","-",+C685+1)</f>
        <v>2065</v>
      </c>
      <c r="D686" s="412">
        <f t="shared" si="43"/>
        <v>0</v>
      </c>
      <c r="E686" s="456">
        <f t="shared" si="46"/>
        <v>0</v>
      </c>
      <c r="F686" s="412">
        <f t="shared" si="41"/>
        <v>0</v>
      </c>
      <c r="G686" s="851">
        <f t="shared" si="44"/>
        <v>0</v>
      </c>
      <c r="H686" s="854">
        <f t="shared" si="45"/>
        <v>0</v>
      </c>
      <c r="I686" s="453">
        <f t="shared" si="42"/>
        <v>0</v>
      </c>
      <c r="J686" s="453"/>
      <c r="K686" s="566"/>
      <c r="L686" s="459"/>
      <c r="M686" s="566"/>
      <c r="N686" s="459"/>
      <c r="O686" s="459"/>
      <c r="P686" s="4"/>
    </row>
    <row r="687" spans="3:16">
      <c r="C687" s="449">
        <f>IF(D631="","-",+C686+1)</f>
        <v>2066</v>
      </c>
      <c r="D687" s="412">
        <f t="shared" si="43"/>
        <v>0</v>
      </c>
      <c r="E687" s="456">
        <f t="shared" si="46"/>
        <v>0</v>
      </c>
      <c r="F687" s="412">
        <f t="shared" si="41"/>
        <v>0</v>
      </c>
      <c r="G687" s="851">
        <f t="shared" si="44"/>
        <v>0</v>
      </c>
      <c r="H687" s="854">
        <f t="shared" si="45"/>
        <v>0</v>
      </c>
      <c r="I687" s="453">
        <f t="shared" si="42"/>
        <v>0</v>
      </c>
      <c r="J687" s="453"/>
      <c r="K687" s="566"/>
      <c r="L687" s="459"/>
      <c r="M687" s="566"/>
      <c r="N687" s="459"/>
      <c r="O687" s="459"/>
      <c r="P687" s="4"/>
    </row>
    <row r="688" spans="3:16">
      <c r="C688" s="449">
        <f>IF(D631="","-",+C687+1)</f>
        <v>2067</v>
      </c>
      <c r="D688" s="412">
        <f t="shared" si="43"/>
        <v>0</v>
      </c>
      <c r="E688" s="456">
        <f t="shared" si="46"/>
        <v>0</v>
      </c>
      <c r="F688" s="412">
        <f t="shared" si="41"/>
        <v>0</v>
      </c>
      <c r="G688" s="851">
        <f t="shared" si="44"/>
        <v>0</v>
      </c>
      <c r="H688" s="854">
        <f t="shared" si="45"/>
        <v>0</v>
      </c>
      <c r="I688" s="453">
        <f t="shared" si="42"/>
        <v>0</v>
      </c>
      <c r="J688" s="453"/>
      <c r="K688" s="566"/>
      <c r="L688" s="459"/>
      <c r="M688" s="566"/>
      <c r="N688" s="459"/>
      <c r="O688" s="459"/>
      <c r="P688" s="4"/>
    </row>
    <row r="689" spans="3:16">
      <c r="C689" s="449">
        <f>IF(D631="","-",+C688+1)</f>
        <v>2068</v>
      </c>
      <c r="D689" s="412">
        <f t="shared" si="43"/>
        <v>0</v>
      </c>
      <c r="E689" s="456">
        <f t="shared" si="46"/>
        <v>0</v>
      </c>
      <c r="F689" s="412">
        <f t="shared" si="41"/>
        <v>0</v>
      </c>
      <c r="G689" s="851">
        <f t="shared" si="44"/>
        <v>0</v>
      </c>
      <c r="H689" s="854">
        <f t="shared" si="45"/>
        <v>0</v>
      </c>
      <c r="I689" s="453">
        <f t="shared" si="42"/>
        <v>0</v>
      </c>
      <c r="J689" s="453"/>
      <c r="K689" s="566"/>
      <c r="L689" s="459"/>
      <c r="M689" s="566"/>
      <c r="N689" s="459"/>
      <c r="O689" s="459"/>
      <c r="P689" s="4"/>
    </row>
    <row r="690" spans="3:16">
      <c r="C690" s="449">
        <f>IF(D631="","-",+C689+1)</f>
        <v>2069</v>
      </c>
      <c r="D690" s="412">
        <f t="shared" si="43"/>
        <v>0</v>
      </c>
      <c r="E690" s="456">
        <f t="shared" si="46"/>
        <v>0</v>
      </c>
      <c r="F690" s="412">
        <f t="shared" si="41"/>
        <v>0</v>
      </c>
      <c r="G690" s="851">
        <f t="shared" si="44"/>
        <v>0</v>
      </c>
      <c r="H690" s="854">
        <f t="shared" si="45"/>
        <v>0</v>
      </c>
      <c r="I690" s="453">
        <f t="shared" si="42"/>
        <v>0</v>
      </c>
      <c r="J690" s="453"/>
      <c r="K690" s="566"/>
      <c r="L690" s="459"/>
      <c r="M690" s="566"/>
      <c r="N690" s="459"/>
      <c r="O690" s="459"/>
      <c r="P690" s="4"/>
    </row>
    <row r="691" spans="3:16">
      <c r="C691" s="449">
        <f>IF(D631="","-",+C690+1)</f>
        <v>2070</v>
      </c>
      <c r="D691" s="412">
        <f t="shared" si="43"/>
        <v>0</v>
      </c>
      <c r="E691" s="456">
        <f t="shared" si="46"/>
        <v>0</v>
      </c>
      <c r="F691" s="412">
        <f t="shared" si="41"/>
        <v>0</v>
      </c>
      <c r="G691" s="851">
        <f t="shared" si="44"/>
        <v>0</v>
      </c>
      <c r="H691" s="854">
        <f t="shared" si="45"/>
        <v>0</v>
      </c>
      <c r="I691" s="453">
        <f t="shared" si="42"/>
        <v>0</v>
      </c>
      <c r="J691" s="453"/>
      <c r="K691" s="566"/>
      <c r="L691" s="459"/>
      <c r="M691" s="566"/>
      <c r="N691" s="459"/>
      <c r="O691" s="459"/>
      <c r="P691" s="4"/>
    </row>
    <row r="692" spans="3:16">
      <c r="C692" s="449">
        <f>IF(D631="","-",+C691+1)</f>
        <v>2071</v>
      </c>
      <c r="D692" s="412">
        <f t="shared" si="43"/>
        <v>0</v>
      </c>
      <c r="E692" s="456">
        <f t="shared" si="46"/>
        <v>0</v>
      </c>
      <c r="F692" s="412">
        <f t="shared" si="41"/>
        <v>0</v>
      </c>
      <c r="G692" s="851">
        <f t="shared" si="44"/>
        <v>0</v>
      </c>
      <c r="H692" s="854">
        <f t="shared" si="45"/>
        <v>0</v>
      </c>
      <c r="I692" s="453">
        <f t="shared" si="42"/>
        <v>0</v>
      </c>
      <c r="J692" s="453"/>
      <c r="K692" s="566"/>
      <c r="L692" s="459"/>
      <c r="M692" s="566"/>
      <c r="N692" s="459"/>
      <c r="O692" s="459"/>
      <c r="P692" s="4"/>
    </row>
    <row r="693" spans="3:16">
      <c r="C693" s="449">
        <f>IF(D631="","-",+C692+1)</f>
        <v>2072</v>
      </c>
      <c r="D693" s="412">
        <f t="shared" si="43"/>
        <v>0</v>
      </c>
      <c r="E693" s="456">
        <f t="shared" si="46"/>
        <v>0</v>
      </c>
      <c r="F693" s="412">
        <f t="shared" si="41"/>
        <v>0</v>
      </c>
      <c r="G693" s="851">
        <f t="shared" si="44"/>
        <v>0</v>
      </c>
      <c r="H693" s="854">
        <f t="shared" si="45"/>
        <v>0</v>
      </c>
      <c r="I693" s="453">
        <f t="shared" si="42"/>
        <v>0</v>
      </c>
      <c r="J693" s="453"/>
      <c r="K693" s="566"/>
      <c r="L693" s="459"/>
      <c r="M693" s="566"/>
      <c r="N693" s="459"/>
      <c r="O693" s="459"/>
      <c r="P693" s="4"/>
    </row>
    <row r="694" spans="3:16">
      <c r="C694" s="449">
        <f>IF(D631="","-",+C693+1)</f>
        <v>2073</v>
      </c>
      <c r="D694" s="412">
        <f t="shared" si="43"/>
        <v>0</v>
      </c>
      <c r="E694" s="456">
        <f t="shared" si="46"/>
        <v>0</v>
      </c>
      <c r="F694" s="412">
        <f t="shared" si="41"/>
        <v>0</v>
      </c>
      <c r="G694" s="851">
        <f t="shared" si="44"/>
        <v>0</v>
      </c>
      <c r="H694" s="854">
        <f t="shared" si="45"/>
        <v>0</v>
      </c>
      <c r="I694" s="453">
        <f t="shared" si="42"/>
        <v>0</v>
      </c>
      <c r="J694" s="453"/>
      <c r="K694" s="566"/>
      <c r="L694" s="459"/>
      <c r="M694" s="566"/>
      <c r="N694" s="459"/>
      <c r="O694" s="459"/>
      <c r="P694" s="4"/>
    </row>
    <row r="695" spans="3:16">
      <c r="C695" s="449">
        <f>IF(D631="","-",+C694+1)</f>
        <v>2074</v>
      </c>
      <c r="D695" s="412">
        <f t="shared" si="43"/>
        <v>0</v>
      </c>
      <c r="E695" s="456">
        <f t="shared" si="46"/>
        <v>0</v>
      </c>
      <c r="F695" s="412">
        <f t="shared" si="41"/>
        <v>0</v>
      </c>
      <c r="G695" s="851">
        <f t="shared" si="44"/>
        <v>0</v>
      </c>
      <c r="H695" s="854">
        <f t="shared" si="45"/>
        <v>0</v>
      </c>
      <c r="I695" s="453">
        <f t="shared" si="42"/>
        <v>0</v>
      </c>
      <c r="J695" s="453"/>
      <c r="K695" s="566"/>
      <c r="L695" s="459"/>
      <c r="M695" s="566"/>
      <c r="N695" s="459"/>
      <c r="O695" s="459"/>
      <c r="P695" s="4"/>
    </row>
    <row r="696" spans="3:16" ht="13.5" thickBot="1">
      <c r="C696" s="461">
        <f>IF(D631="","-",+C695+1)</f>
        <v>2075</v>
      </c>
      <c r="D696" s="462">
        <f t="shared" si="43"/>
        <v>0</v>
      </c>
      <c r="E696" s="463">
        <f t="shared" si="46"/>
        <v>0</v>
      </c>
      <c r="F696" s="462">
        <f t="shared" si="41"/>
        <v>0</v>
      </c>
      <c r="G696" s="861">
        <f t="shared" si="44"/>
        <v>0</v>
      </c>
      <c r="H696" s="861">
        <f t="shared" si="45"/>
        <v>0</v>
      </c>
      <c r="I696" s="465">
        <f t="shared" si="42"/>
        <v>0</v>
      </c>
      <c r="J696" s="453"/>
      <c r="K696" s="567"/>
      <c r="L696" s="467"/>
      <c r="M696" s="567"/>
      <c r="N696" s="467"/>
      <c r="O696" s="467"/>
      <c r="P696" s="4"/>
    </row>
    <row r="697" spans="3:16">
      <c r="C697" s="412" t="s">
        <v>288</v>
      </c>
      <c r="D697" s="832"/>
      <c r="E697" s="832">
        <f>SUM(E637:E696)</f>
        <v>30073762.065699998</v>
      </c>
      <c r="F697" s="832"/>
      <c r="G697" s="832">
        <f>SUM(G637:G696)</f>
        <v>98784831.744479299</v>
      </c>
      <c r="H697" s="832">
        <f>SUM(H637:H696)</f>
        <v>98784831.744479299</v>
      </c>
      <c r="I697" s="832">
        <f>SUM(I637:I696)</f>
        <v>0</v>
      </c>
      <c r="J697" s="832"/>
      <c r="K697" s="832"/>
      <c r="L697" s="832"/>
      <c r="M697" s="832"/>
      <c r="N697" s="832"/>
      <c r="O697" s="4"/>
      <c r="P697" s="4"/>
    </row>
    <row r="698" spans="3:16">
      <c r="D698" s="67"/>
      <c r="E698" s="4"/>
      <c r="F698" s="4"/>
      <c r="G698" s="4"/>
      <c r="H698" s="831"/>
      <c r="I698" s="831"/>
      <c r="J698" s="832"/>
      <c r="K698" s="831"/>
      <c r="L698" s="831"/>
      <c r="M698" s="831"/>
      <c r="N698" s="831"/>
      <c r="O698" s="4"/>
      <c r="P698" s="4"/>
    </row>
    <row r="699" spans="3:16">
      <c r="C699" s="4" t="s">
        <v>601</v>
      </c>
      <c r="D699" s="67"/>
      <c r="E699" s="4"/>
      <c r="F699" s="4"/>
      <c r="G699" s="4"/>
      <c r="H699" s="831"/>
      <c r="I699" s="831"/>
      <c r="J699" s="832"/>
      <c r="K699" s="831"/>
      <c r="L699" s="831"/>
      <c r="M699" s="831"/>
      <c r="N699" s="831"/>
      <c r="O699" s="4"/>
      <c r="P699" s="4"/>
    </row>
    <row r="700" spans="3:16">
      <c r="D700" s="67"/>
      <c r="E700" s="4"/>
      <c r="F700" s="4"/>
      <c r="G700" s="4"/>
      <c r="H700" s="831"/>
      <c r="I700" s="831"/>
      <c r="J700" s="832"/>
      <c r="K700" s="831"/>
      <c r="L700" s="831"/>
      <c r="M700" s="831"/>
      <c r="N700" s="831"/>
      <c r="O700" s="4"/>
      <c r="P700" s="4"/>
    </row>
    <row r="701" spans="3:16">
      <c r="C701" s="4" t="s">
        <v>602</v>
      </c>
      <c r="D701" s="412"/>
      <c r="E701" s="412"/>
      <c r="F701" s="412"/>
      <c r="G701" s="832"/>
      <c r="H701" s="832"/>
      <c r="I701" s="414"/>
      <c r="J701" s="414"/>
      <c r="K701" s="414"/>
      <c r="L701" s="414"/>
      <c r="M701" s="414"/>
      <c r="N701" s="414"/>
      <c r="O701" s="4"/>
      <c r="P701" s="4"/>
    </row>
    <row r="702" spans="3:16">
      <c r="C702" s="4" t="s">
        <v>476</v>
      </c>
      <c r="D702" s="412"/>
      <c r="E702" s="412"/>
      <c r="F702" s="412"/>
      <c r="G702" s="832"/>
      <c r="H702" s="832"/>
      <c r="I702" s="414"/>
      <c r="J702" s="414"/>
      <c r="K702" s="414"/>
      <c r="L702" s="414"/>
      <c r="M702" s="414"/>
      <c r="N702" s="414"/>
      <c r="O702" s="4"/>
      <c r="P702" s="4"/>
    </row>
    <row r="703" spans="3:16">
      <c r="C703" s="4" t="s">
        <v>289</v>
      </c>
      <c r="D703" s="412"/>
      <c r="E703" s="412"/>
      <c r="F703" s="412"/>
      <c r="G703" s="832"/>
      <c r="H703" s="832"/>
      <c r="I703" s="414"/>
      <c r="J703" s="414"/>
      <c r="K703" s="414"/>
      <c r="L703" s="414"/>
      <c r="M703" s="414"/>
      <c r="N703" s="414"/>
      <c r="O703" s="4"/>
      <c r="P703" s="4"/>
    </row>
    <row r="704" spans="3:16">
      <c r="C704" s="413"/>
      <c r="D704" s="412"/>
      <c r="E704" s="412"/>
      <c r="F704" s="412"/>
      <c r="G704" s="832"/>
      <c r="H704" s="832"/>
      <c r="I704" s="414"/>
      <c r="J704" s="414"/>
      <c r="K704" s="414"/>
      <c r="L704" s="414"/>
      <c r="M704" s="414"/>
      <c r="N704" s="414"/>
      <c r="O704" s="4"/>
      <c r="P704" s="4"/>
    </row>
    <row r="705" spans="1:16">
      <c r="C705" s="1279" t="s">
        <v>460</v>
      </c>
      <c r="D705" s="1279"/>
      <c r="E705" s="1279"/>
      <c r="F705" s="1279"/>
      <c r="G705" s="1279"/>
      <c r="H705" s="1279"/>
      <c r="I705" s="1279"/>
      <c r="J705" s="1279"/>
      <c r="K705" s="1279"/>
      <c r="L705" s="1279"/>
      <c r="M705" s="1279"/>
      <c r="N705" s="1279"/>
      <c r="O705" s="1279"/>
      <c r="P705" s="4"/>
    </row>
    <row r="706" spans="1:16">
      <c r="C706" s="1279"/>
      <c r="D706" s="1279"/>
      <c r="E706" s="1279"/>
      <c r="F706" s="1279"/>
      <c r="G706" s="1279"/>
      <c r="H706" s="1279"/>
      <c r="I706" s="1279"/>
      <c r="J706" s="1279"/>
      <c r="K706" s="1279"/>
      <c r="L706" s="1279"/>
      <c r="M706" s="1279"/>
      <c r="N706" s="1279"/>
      <c r="O706" s="1279"/>
      <c r="P706" s="4"/>
    </row>
    <row r="707" spans="1:16" ht="20.25">
      <c r="A707" s="352" t="s">
        <v>929</v>
      </c>
      <c r="B707" s="4"/>
      <c r="C707" s="4"/>
      <c r="D707" s="67"/>
      <c r="E707" s="4"/>
      <c r="F707" s="394"/>
      <c r="G707" s="4"/>
      <c r="H707" s="831"/>
      <c r="K707" s="353"/>
      <c r="L707" s="353"/>
      <c r="M707" s="353"/>
      <c r="N707" s="353" t="str">
        <f>"Page "&amp;SUM(P$6:P707)&amp;" of "</f>
        <v xml:space="preserve">Page 9 of </v>
      </c>
      <c r="O707" s="354">
        <f>COUNT(P$6:P$59606)</f>
        <v>18</v>
      </c>
      <c r="P707" s="4">
        <v>1</v>
      </c>
    </row>
    <row r="708" spans="1:16">
      <c r="B708" s="4"/>
      <c r="C708" s="4"/>
      <c r="D708" s="67"/>
      <c r="E708" s="4"/>
      <c r="F708" s="4"/>
      <c r="G708" s="4"/>
      <c r="H708" s="831"/>
      <c r="I708" s="4"/>
      <c r="J708" s="4"/>
      <c r="K708" s="4"/>
      <c r="L708" s="4"/>
      <c r="M708" s="4"/>
      <c r="N708" s="4"/>
      <c r="O708" s="4"/>
      <c r="P708" s="4"/>
    </row>
    <row r="709" spans="1:16" ht="18">
      <c r="B709" s="355" t="s">
        <v>174</v>
      </c>
      <c r="C709" s="415" t="s">
        <v>290</v>
      </c>
      <c r="D709" s="67"/>
      <c r="E709" s="4"/>
      <c r="F709" s="4"/>
      <c r="G709" s="4"/>
      <c r="H709" s="831"/>
      <c r="I709" s="831"/>
      <c r="J709" s="832"/>
      <c r="K709" s="831"/>
      <c r="L709" s="831"/>
      <c r="M709" s="831"/>
      <c r="N709" s="831"/>
      <c r="O709" s="4"/>
      <c r="P709" s="4"/>
    </row>
    <row r="710" spans="1:16" ht="18.75">
      <c r="B710" s="355"/>
      <c r="C710" s="11"/>
      <c r="D710" s="67"/>
      <c r="E710" s="4"/>
      <c r="F710" s="4"/>
      <c r="G710" s="4"/>
      <c r="H710" s="831"/>
      <c r="I710" s="831"/>
      <c r="J710" s="832"/>
      <c r="K710" s="831"/>
      <c r="L710" s="831"/>
      <c r="M710" s="831"/>
      <c r="N710" s="831"/>
      <c r="O710" s="4"/>
      <c r="P710" s="4"/>
    </row>
    <row r="711" spans="1:16" ht="18.75">
      <c r="B711" s="355"/>
      <c r="C711" s="11" t="s">
        <v>291</v>
      </c>
      <c r="D711" s="67"/>
      <c r="E711" s="4"/>
      <c r="F711" s="4"/>
      <c r="G711" s="4"/>
      <c r="H711" s="831"/>
      <c r="I711" s="831"/>
      <c r="J711" s="832"/>
      <c r="K711" s="831"/>
      <c r="L711" s="831"/>
      <c r="M711" s="831"/>
      <c r="N711" s="831"/>
      <c r="O711" s="4"/>
      <c r="P711" s="4"/>
    </row>
    <row r="712" spans="1:16" ht="15.75" thickBot="1">
      <c r="C712" s="203"/>
      <c r="D712" s="67"/>
      <c r="E712" s="4"/>
      <c r="F712" s="4"/>
      <c r="G712" s="4"/>
      <c r="H712" s="831"/>
      <c r="I712" s="831"/>
      <c r="J712" s="832"/>
      <c r="K712" s="831"/>
      <c r="L712" s="831"/>
      <c r="M712" s="831"/>
      <c r="N712" s="831"/>
      <c r="O712" s="4"/>
      <c r="P712" s="4"/>
    </row>
    <row r="713" spans="1:16" ht="15.75">
      <c r="C713" s="356" t="s">
        <v>292</v>
      </c>
      <c r="D713" s="67"/>
      <c r="E713" s="4"/>
      <c r="F713" s="4"/>
      <c r="G713" s="833"/>
      <c r="H713" s="4" t="s">
        <v>271</v>
      </c>
      <c r="I713" s="4"/>
      <c r="J713" s="4"/>
      <c r="K713" s="416" t="s">
        <v>296</v>
      </c>
      <c r="L713" s="417"/>
      <c r="M713" s="418"/>
      <c r="N713" s="834">
        <f>VLOOKUP(I719,C726:O785,5)</f>
        <v>589082.23155232798</v>
      </c>
      <c r="O713" s="4"/>
      <c r="P713" s="4"/>
    </row>
    <row r="714" spans="1:16" ht="15.75">
      <c r="C714" s="356"/>
      <c r="D714" s="67"/>
      <c r="E714" s="4"/>
      <c r="F714" s="4"/>
      <c r="G714" s="4"/>
      <c r="H714" s="835"/>
      <c r="I714" s="835"/>
      <c r="J714" s="836"/>
      <c r="K714" s="421" t="s">
        <v>297</v>
      </c>
      <c r="L714" s="837"/>
      <c r="M714" s="4"/>
      <c r="N714" s="838">
        <f>VLOOKUP(I719,C726:O785,6)</f>
        <v>589082.23155232798</v>
      </c>
      <c r="O714" s="4"/>
      <c r="P714" s="4"/>
    </row>
    <row r="715" spans="1:16" ht="13.5" thickBot="1">
      <c r="C715" s="422" t="s">
        <v>293</v>
      </c>
      <c r="D715" s="1277" t="s">
        <v>938</v>
      </c>
      <c r="E715" s="1277"/>
      <c r="F715" s="1277"/>
      <c r="G715" s="1277"/>
      <c r="H715" s="1277"/>
      <c r="I715" s="831"/>
      <c r="J715" s="832"/>
      <c r="K715" s="839" t="s">
        <v>450</v>
      </c>
      <c r="L715" s="840"/>
      <c r="M715" s="840"/>
      <c r="N715" s="841">
        <f>+N714-N713</f>
        <v>0</v>
      </c>
      <c r="O715" s="4"/>
      <c r="P715" s="4"/>
    </row>
    <row r="716" spans="1:16">
      <c r="C716" s="424"/>
      <c r="D716" s="425"/>
      <c r="E716" s="412"/>
      <c r="F716" s="412"/>
      <c r="G716" s="426"/>
      <c r="H716" s="831"/>
      <c r="I716" s="831"/>
      <c r="J716" s="832"/>
      <c r="K716" s="831"/>
      <c r="L716" s="831"/>
      <c r="M716" s="831"/>
      <c r="N716" s="831"/>
      <c r="O716" s="4"/>
      <c r="P716" s="4"/>
    </row>
    <row r="717" spans="1:16" ht="13.5" thickBot="1">
      <c r="C717" s="424"/>
      <c r="D717" s="4"/>
      <c r="E717" s="426"/>
      <c r="F717" s="426"/>
      <c r="G717" s="426"/>
      <c r="H717" s="426"/>
      <c r="I717" s="426"/>
      <c r="J717" s="426"/>
      <c r="K717" s="426"/>
      <c r="L717" s="426"/>
      <c r="M717" s="426"/>
      <c r="N717" s="426"/>
      <c r="O717" s="4"/>
      <c r="P717" s="4"/>
    </row>
    <row r="718" spans="1:16" ht="13.5" thickBot="1">
      <c r="C718" s="427" t="s">
        <v>294</v>
      </c>
      <c r="D718" s="428"/>
      <c r="E718" s="428"/>
      <c r="F718" s="428"/>
      <c r="G718" s="428"/>
      <c r="H718" s="428"/>
      <c r="I718" s="429"/>
      <c r="K718" s="4"/>
      <c r="L718" s="4"/>
      <c r="M718" s="4"/>
      <c r="N718" s="4"/>
      <c r="O718" s="4"/>
      <c r="P718" s="4"/>
    </row>
    <row r="719" spans="1:16" ht="15">
      <c r="C719" s="430" t="s">
        <v>272</v>
      </c>
      <c r="D719" s="842">
        <v>5483985.8899999997</v>
      </c>
      <c r="E719" s="4" t="s">
        <v>273</v>
      </c>
      <c r="G719" s="67"/>
      <c r="H719" s="67"/>
      <c r="I719" s="431">
        <f>$L$26</f>
        <v>2026</v>
      </c>
      <c r="J719" s="114"/>
      <c r="K719" s="1278" t="s">
        <v>459</v>
      </c>
      <c r="L719" s="1278"/>
      <c r="M719" s="1278"/>
      <c r="N719" s="1278"/>
      <c r="O719" s="1278"/>
      <c r="P719" s="4"/>
    </row>
    <row r="720" spans="1:16">
      <c r="C720" s="430" t="s">
        <v>275</v>
      </c>
      <c r="D720" s="561">
        <v>2015</v>
      </c>
      <c r="E720" s="430" t="s">
        <v>276</v>
      </c>
      <c r="F720" s="67"/>
      <c r="I720" s="564">
        <f>IF(G713="",0,$F$15)</f>
        <v>0</v>
      </c>
      <c r="J720" s="432"/>
      <c r="K720" s="832" t="s">
        <v>459</v>
      </c>
      <c r="P720" s="4"/>
    </row>
    <row r="721" spans="1:16">
      <c r="C721" s="430" t="s">
        <v>277</v>
      </c>
      <c r="D721" s="843">
        <v>12</v>
      </c>
      <c r="E721" s="430" t="s">
        <v>278</v>
      </c>
      <c r="F721" s="67"/>
      <c r="I721" s="433">
        <f>$G$70</f>
        <v>0.1119061905251431</v>
      </c>
      <c r="J721" s="394"/>
      <c r="K721" t="str">
        <f>"          INPUT PROJECTED ARR (WITH &amp; WITHOUT INCENTIVES) FROM EACH PRIOR YEAR"</f>
        <v xml:space="preserve">          INPUT PROJECTED ARR (WITH &amp; WITHOUT INCENTIVES) FROM EACH PRIOR YEAR</v>
      </c>
      <c r="P721" s="4"/>
    </row>
    <row r="722" spans="1:16">
      <c r="C722" s="430" t="s">
        <v>279</v>
      </c>
      <c r="D722" s="434">
        <f>G$79</f>
        <v>39</v>
      </c>
      <c r="E722" s="430" t="s">
        <v>280</v>
      </c>
      <c r="F722" s="67"/>
      <c r="I722" s="433">
        <f>IF(G713="",I721,$G$67)</f>
        <v>0.1119061905251431</v>
      </c>
      <c r="J722" s="394"/>
      <c r="K722" t="s">
        <v>357</v>
      </c>
      <c r="P722" s="4"/>
    </row>
    <row r="723" spans="1:16" ht="13.5" thickBot="1">
      <c r="C723" s="430" t="s">
        <v>281</v>
      </c>
      <c r="D723" s="563" t="s">
        <v>931</v>
      </c>
      <c r="E723" s="435" t="s">
        <v>282</v>
      </c>
      <c r="F723" s="436"/>
      <c r="G723" s="437"/>
      <c r="H723" s="437"/>
      <c r="I723" s="841">
        <f>IF(D719=0,0,D719/D722)</f>
        <v>140615.02282051282</v>
      </c>
      <c r="J723" s="832"/>
      <c r="K723" s="832" t="s">
        <v>363</v>
      </c>
      <c r="L723" s="832"/>
      <c r="M723" s="832"/>
      <c r="N723" s="832"/>
      <c r="O723" s="4"/>
      <c r="P723" s="4"/>
    </row>
    <row r="724" spans="1:16" ht="51">
      <c r="A724" s="322"/>
      <c r="B724" s="322"/>
      <c r="C724" s="438" t="s">
        <v>272</v>
      </c>
      <c r="D724" s="844" t="s">
        <v>283</v>
      </c>
      <c r="E724" s="845" t="s">
        <v>284</v>
      </c>
      <c r="F724" s="844" t="s">
        <v>285</v>
      </c>
      <c r="G724" s="845" t="s">
        <v>356</v>
      </c>
      <c r="H724" s="846" t="s">
        <v>356</v>
      </c>
      <c r="I724" s="438" t="s">
        <v>295</v>
      </c>
      <c r="J724" s="442"/>
      <c r="K724" s="845" t="s">
        <v>365</v>
      </c>
      <c r="L724" s="847"/>
      <c r="M724" s="845" t="s">
        <v>365</v>
      </c>
      <c r="N724" s="847"/>
      <c r="O724" s="847"/>
      <c r="P724" s="4"/>
    </row>
    <row r="725" spans="1:16" ht="13.5" thickBot="1">
      <c r="C725" s="444" t="s">
        <v>177</v>
      </c>
      <c r="D725" s="445" t="s">
        <v>178</v>
      </c>
      <c r="E725" s="444" t="s">
        <v>37</v>
      </c>
      <c r="F725" s="445" t="s">
        <v>178</v>
      </c>
      <c r="G725" s="848" t="s">
        <v>298</v>
      </c>
      <c r="H725" s="849" t="s">
        <v>300</v>
      </c>
      <c r="I725" s="444" t="s">
        <v>389</v>
      </c>
      <c r="J725" s="448"/>
      <c r="K725" s="848" t="s">
        <v>287</v>
      </c>
      <c r="L725" s="850"/>
      <c r="M725" s="848" t="s">
        <v>300</v>
      </c>
      <c r="N725" s="850"/>
      <c r="O725" s="850"/>
      <c r="P725" s="4"/>
    </row>
    <row r="726" spans="1:16">
      <c r="C726" s="449">
        <f>IF(D720= "","-",D720)</f>
        <v>2015</v>
      </c>
      <c r="D726" s="412">
        <f>+D719</f>
        <v>5483985.8899999997</v>
      </c>
      <c r="E726" s="851">
        <f>+I723/12*(12-D721)</f>
        <v>0</v>
      </c>
      <c r="F726" s="412">
        <f t="shared" ref="F726:F785" si="47">+D726-E726</f>
        <v>5483985.8899999997</v>
      </c>
      <c r="G726" s="852">
        <f>+$I$721*((D726+F726)/2)+E726</f>
        <v>613691.96984353638</v>
      </c>
      <c r="H726" s="853">
        <f>+$I$722*((D726+F726)/2)+E726</f>
        <v>613691.96984353638</v>
      </c>
      <c r="I726" s="453">
        <f t="shared" ref="I726:I785" si="48">+H726-G726</f>
        <v>0</v>
      </c>
      <c r="J726" s="453"/>
      <c r="K726" s="565">
        <v>0</v>
      </c>
      <c r="L726" s="455"/>
      <c r="M726" s="565">
        <v>0</v>
      </c>
      <c r="N726" s="455"/>
      <c r="O726" s="455"/>
      <c r="P726" s="4"/>
    </row>
    <row r="727" spans="1:16">
      <c r="C727" s="449">
        <f>IF(D720="","-",+C726+1)</f>
        <v>2016</v>
      </c>
      <c r="D727" s="412">
        <f t="shared" ref="D727:D785" si="49">F726</f>
        <v>5483985.8899999997</v>
      </c>
      <c r="E727" s="456">
        <f>IF(D727&gt;$I$723,$I$723,D727)</f>
        <v>140615.02282051282</v>
      </c>
      <c r="F727" s="412">
        <f t="shared" si="47"/>
        <v>5343370.8671794869</v>
      </c>
      <c r="G727" s="851">
        <f t="shared" ref="G727:G785" si="50">+$I$721*((D727+F727)/2)+E727</f>
        <v>746439.14689682447</v>
      </c>
      <c r="H727" s="854">
        <f t="shared" ref="H727:H785" si="51">+$I$722*((D727+F727)/2)+E727</f>
        <v>746439.14689682447</v>
      </c>
      <c r="I727" s="453">
        <f t="shared" si="48"/>
        <v>0</v>
      </c>
      <c r="J727" s="868"/>
      <c r="K727" s="869">
        <v>780577</v>
      </c>
      <c r="L727" s="872"/>
      <c r="M727" s="869">
        <v>780577</v>
      </c>
      <c r="N727" s="873"/>
      <c r="O727" s="459"/>
      <c r="P727" s="4"/>
    </row>
    <row r="728" spans="1:16">
      <c r="C728" s="449">
        <f>IF(D720="","-",+C727+1)</f>
        <v>2017</v>
      </c>
      <c r="D728" s="412">
        <f t="shared" si="49"/>
        <v>5343370.8671794869</v>
      </c>
      <c r="E728" s="456">
        <f t="shared" ref="E728:E785" si="52">IF(D728&gt;$I$723,$I$723,D728)</f>
        <v>140615.02282051282</v>
      </c>
      <c r="F728" s="412">
        <f t="shared" si="47"/>
        <v>5202755.8443589741</v>
      </c>
      <c r="G728" s="851">
        <f t="shared" si="50"/>
        <v>730703.45536237466</v>
      </c>
      <c r="H728" s="854">
        <f t="shared" si="51"/>
        <v>730703.45536237466</v>
      </c>
      <c r="I728" s="453">
        <f t="shared" si="48"/>
        <v>0</v>
      </c>
      <c r="J728" s="453"/>
      <c r="K728" s="566">
        <v>779062</v>
      </c>
      <c r="L728" s="864"/>
      <c r="M728" s="566">
        <v>779062</v>
      </c>
      <c r="N728" s="459"/>
      <c r="O728" s="459"/>
      <c r="P728" s="4"/>
    </row>
    <row r="729" spans="1:16">
      <c r="C729" s="878">
        <f>IF(D720="","-",+C728+1)</f>
        <v>2018</v>
      </c>
      <c r="D729" s="856">
        <f t="shared" si="49"/>
        <v>5202755.8443589741</v>
      </c>
      <c r="E729" s="857">
        <f t="shared" si="52"/>
        <v>140615.02282051282</v>
      </c>
      <c r="F729" s="856">
        <f t="shared" si="47"/>
        <v>5062140.8215384614</v>
      </c>
      <c r="G729" s="858">
        <f t="shared" si="50"/>
        <v>714967.76382792508</v>
      </c>
      <c r="H729" s="859">
        <f t="shared" si="51"/>
        <v>714967.76382792508</v>
      </c>
      <c r="I729" s="865">
        <f t="shared" si="48"/>
        <v>0</v>
      </c>
      <c r="J729" s="453"/>
      <c r="K729" s="566">
        <v>672821</v>
      </c>
      <c r="L729" s="459"/>
      <c r="M729" s="566">
        <v>672821</v>
      </c>
      <c r="N729" s="459"/>
      <c r="O729" s="459"/>
      <c r="P729" s="4"/>
    </row>
    <row r="730" spans="1:16">
      <c r="C730" s="449">
        <f>IF(D721="","-",+C729+1)</f>
        <v>2019</v>
      </c>
      <c r="D730" s="412">
        <f t="shared" si="49"/>
        <v>5062140.8215384614</v>
      </c>
      <c r="E730" s="456">
        <f t="shared" si="52"/>
        <v>140615.02282051282</v>
      </c>
      <c r="F730" s="412">
        <f t="shared" si="47"/>
        <v>4921525.7987179486</v>
      </c>
      <c r="G730" s="851">
        <f t="shared" si="50"/>
        <v>699232.0722934755</v>
      </c>
      <c r="H730" s="854">
        <f t="shared" si="51"/>
        <v>699232.0722934755</v>
      </c>
      <c r="I730" s="453">
        <f t="shared" si="48"/>
        <v>0</v>
      </c>
      <c r="J730" s="453"/>
      <c r="K730" s="566">
        <v>658791</v>
      </c>
      <c r="L730" s="459"/>
      <c r="M730" s="566">
        <v>658791</v>
      </c>
      <c r="N730" s="459"/>
      <c r="O730" s="459"/>
      <c r="P730" s="4"/>
    </row>
    <row r="731" spans="1:16">
      <c r="C731" s="449">
        <f>IF(D721="","-",+C730+1)</f>
        <v>2020</v>
      </c>
      <c r="D731" s="412">
        <f t="shared" si="49"/>
        <v>4921525.7987179486</v>
      </c>
      <c r="E731" s="456">
        <f t="shared" si="52"/>
        <v>140615.02282051282</v>
      </c>
      <c r="F731" s="412">
        <f t="shared" si="47"/>
        <v>4780910.7758974358</v>
      </c>
      <c r="G731" s="851">
        <f t="shared" si="50"/>
        <v>683496.38075902592</v>
      </c>
      <c r="H731" s="854">
        <f t="shared" si="51"/>
        <v>683496.38075902592</v>
      </c>
      <c r="I731" s="453">
        <f t="shared" si="48"/>
        <v>0</v>
      </c>
      <c r="J731" s="453"/>
      <c r="K731" s="566">
        <v>626724.43171071797</v>
      </c>
      <c r="L731" s="459"/>
      <c r="M731" s="566">
        <v>626724.43171071797</v>
      </c>
      <c r="N731" s="459"/>
      <c r="O731" s="459"/>
      <c r="P731" s="4"/>
    </row>
    <row r="732" spans="1:16">
      <c r="C732" s="449">
        <f>IF(D720="","-",+C731+1)</f>
        <v>2021</v>
      </c>
      <c r="D732" s="412">
        <f t="shared" si="49"/>
        <v>4780910.7758974358</v>
      </c>
      <c r="E732" s="456">
        <f t="shared" si="52"/>
        <v>140615.02282051282</v>
      </c>
      <c r="F732" s="412">
        <f t="shared" si="47"/>
        <v>4640295.7530769231</v>
      </c>
      <c r="G732" s="851">
        <f t="shared" si="50"/>
        <v>667760.68922457611</v>
      </c>
      <c r="H732" s="854">
        <f t="shared" si="51"/>
        <v>667760.68922457611</v>
      </c>
      <c r="I732" s="453">
        <f t="shared" si="48"/>
        <v>0</v>
      </c>
      <c r="J732" s="453"/>
      <c r="K732" s="566">
        <v>618333.12395489472</v>
      </c>
      <c r="L732" s="459"/>
      <c r="M732" s="566">
        <v>618333.12395489472</v>
      </c>
      <c r="N732" s="459"/>
      <c r="O732" s="459"/>
      <c r="P732" s="4"/>
    </row>
    <row r="733" spans="1:16">
      <c r="C733" s="449">
        <f>IF(D724="","-",+C732+1)</f>
        <v>2022</v>
      </c>
      <c r="D733" s="412">
        <f t="shared" si="49"/>
        <v>4640295.7530769231</v>
      </c>
      <c r="E733" s="456">
        <f t="shared" si="52"/>
        <v>140615.02282051282</v>
      </c>
      <c r="F733" s="412">
        <f t="shared" si="47"/>
        <v>4499680.7302564103</v>
      </c>
      <c r="G733" s="851">
        <f t="shared" si="50"/>
        <v>652024.99769012653</v>
      </c>
      <c r="H733" s="854">
        <f t="shared" si="51"/>
        <v>652024.99769012653</v>
      </c>
      <c r="I733" s="453">
        <f t="shared" si="48"/>
        <v>0</v>
      </c>
      <c r="J733" s="453"/>
      <c r="K733" s="566">
        <v>610745.696873629</v>
      </c>
      <c r="L733" s="459"/>
      <c r="M733" s="566">
        <v>610745.696873629</v>
      </c>
      <c r="N733" s="459"/>
      <c r="O733" s="459"/>
      <c r="P733" s="4"/>
    </row>
    <row r="734" spans="1:16">
      <c r="C734" s="449">
        <f>IF(D724="","-",+C733+1)</f>
        <v>2023</v>
      </c>
      <c r="D734" s="412">
        <f t="shared" si="49"/>
        <v>4499680.7302564103</v>
      </c>
      <c r="E734" s="456">
        <f t="shared" si="52"/>
        <v>140615.02282051282</v>
      </c>
      <c r="F734" s="412">
        <f t="shared" si="47"/>
        <v>4359065.7074358976</v>
      </c>
      <c r="G734" s="851">
        <f t="shared" si="50"/>
        <v>636289.30615567684</v>
      </c>
      <c r="H734" s="854">
        <f t="shared" si="51"/>
        <v>636289.30615567684</v>
      </c>
      <c r="I734" s="453">
        <f t="shared" si="48"/>
        <v>0</v>
      </c>
      <c r="J734" s="453"/>
      <c r="K734" s="566">
        <v>630586.57976023632</v>
      </c>
      <c r="L734" s="459"/>
      <c r="M734" s="566">
        <v>630586.57976023632</v>
      </c>
      <c r="N734" s="459"/>
      <c r="O734" s="459"/>
      <c r="P734" s="4"/>
    </row>
    <row r="735" spans="1:16">
      <c r="C735" s="449">
        <f>IF(D720="","-",+C734+1)</f>
        <v>2024</v>
      </c>
      <c r="D735" s="412">
        <f t="shared" si="49"/>
        <v>4359065.7074358976</v>
      </c>
      <c r="E735" s="456">
        <f t="shared" si="52"/>
        <v>140615.02282051282</v>
      </c>
      <c r="F735" s="412">
        <f t="shared" si="47"/>
        <v>4218450.6846153848</v>
      </c>
      <c r="G735" s="851">
        <f t="shared" si="50"/>
        <v>620553.61462122726</v>
      </c>
      <c r="H735" s="854">
        <f t="shared" si="51"/>
        <v>620553.61462122726</v>
      </c>
      <c r="I735" s="453">
        <f t="shared" si="48"/>
        <v>0</v>
      </c>
      <c r="J735" s="453"/>
      <c r="K735" s="566">
        <v>610613.29408461938</v>
      </c>
      <c r="L735" s="459"/>
      <c r="M735" s="566">
        <v>610613.29408461938</v>
      </c>
      <c r="N735" s="459"/>
      <c r="O735" s="459"/>
      <c r="P735" s="4"/>
    </row>
    <row r="736" spans="1:16">
      <c r="C736" s="449">
        <f>IF(D720="","-",+C735+1)</f>
        <v>2025</v>
      </c>
      <c r="D736" s="412">
        <f t="shared" si="49"/>
        <v>4218450.6846153848</v>
      </c>
      <c r="E736" s="456">
        <f t="shared" si="52"/>
        <v>140615.02282051282</v>
      </c>
      <c r="F736" s="412">
        <f t="shared" si="47"/>
        <v>4077835.661794872</v>
      </c>
      <c r="G736" s="851">
        <f t="shared" si="50"/>
        <v>604817.92308677756</v>
      </c>
      <c r="H736" s="854">
        <f t="shared" si="51"/>
        <v>604817.92308677756</v>
      </c>
      <c r="I736" s="453">
        <f t="shared" si="48"/>
        <v>0</v>
      </c>
      <c r="J736" s="453"/>
      <c r="K736" s="566">
        <v>598250.1008183693</v>
      </c>
      <c r="L736" s="459"/>
      <c r="M736" s="566">
        <v>598250.1008183693</v>
      </c>
      <c r="N736" s="459"/>
      <c r="O736" s="459"/>
      <c r="P736" s="4"/>
    </row>
    <row r="737" spans="3:16">
      <c r="C737" s="855">
        <f>IF(D720="","-",+C736+1)</f>
        <v>2026</v>
      </c>
      <c r="D737" s="412">
        <f t="shared" si="49"/>
        <v>4077835.661794872</v>
      </c>
      <c r="E737" s="456">
        <f t="shared" si="52"/>
        <v>140615.02282051282</v>
      </c>
      <c r="F737" s="412">
        <f t="shared" si="47"/>
        <v>3937220.6389743593</v>
      </c>
      <c r="G737" s="851">
        <f t="shared" si="50"/>
        <v>589082.23155232798</v>
      </c>
      <c r="H737" s="854">
        <f t="shared" si="51"/>
        <v>589082.23155232798</v>
      </c>
      <c r="I737" s="453">
        <f t="shared" si="48"/>
        <v>0</v>
      </c>
      <c r="J737" s="453"/>
      <c r="K737" s="566"/>
      <c r="L737" s="459"/>
      <c r="M737" s="566"/>
      <c r="N737" s="459"/>
      <c r="O737" s="459"/>
      <c r="P737" s="4"/>
    </row>
    <row r="738" spans="3:16">
      <c r="C738" s="449">
        <f>IF(D720="","-",+C737+1)</f>
        <v>2027</v>
      </c>
      <c r="D738" s="412">
        <f t="shared" si="49"/>
        <v>3937220.6389743593</v>
      </c>
      <c r="E738" s="456">
        <f t="shared" si="52"/>
        <v>140615.02282051282</v>
      </c>
      <c r="F738" s="412">
        <f t="shared" si="47"/>
        <v>3796605.6161538465</v>
      </c>
      <c r="G738" s="851">
        <f t="shared" si="50"/>
        <v>573346.54001787829</v>
      </c>
      <c r="H738" s="854">
        <f t="shared" si="51"/>
        <v>573346.54001787829</v>
      </c>
      <c r="I738" s="453">
        <f t="shared" si="48"/>
        <v>0</v>
      </c>
      <c r="J738" s="453"/>
      <c r="K738" s="566"/>
      <c r="L738" s="459"/>
      <c r="M738" s="566"/>
      <c r="N738" s="460"/>
      <c r="O738" s="459"/>
      <c r="P738" s="4"/>
    </row>
    <row r="739" spans="3:16">
      <c r="C739" s="449">
        <f>IF(D720="","-",+C738+1)</f>
        <v>2028</v>
      </c>
      <c r="D739" s="412">
        <f t="shared" si="49"/>
        <v>3796605.6161538465</v>
      </c>
      <c r="E739" s="456">
        <f t="shared" si="52"/>
        <v>140615.02282051282</v>
      </c>
      <c r="F739" s="412">
        <f t="shared" si="47"/>
        <v>3655990.5933333337</v>
      </c>
      <c r="G739" s="851">
        <f t="shared" si="50"/>
        <v>557610.84848342859</v>
      </c>
      <c r="H739" s="854">
        <f t="shared" si="51"/>
        <v>557610.84848342859</v>
      </c>
      <c r="I739" s="453">
        <f t="shared" si="48"/>
        <v>0</v>
      </c>
      <c r="J739" s="453"/>
      <c r="K739" s="566"/>
      <c r="L739" s="459"/>
      <c r="M739" s="566"/>
      <c r="N739" s="459"/>
      <c r="O739" s="459"/>
      <c r="P739" s="4"/>
    </row>
    <row r="740" spans="3:16">
      <c r="C740" s="449">
        <f>IF(D720="","-",+C739+1)</f>
        <v>2029</v>
      </c>
      <c r="D740" s="412">
        <f t="shared" si="49"/>
        <v>3655990.5933333337</v>
      </c>
      <c r="E740" s="456">
        <f t="shared" si="52"/>
        <v>140615.02282051282</v>
      </c>
      <c r="F740" s="412">
        <f t="shared" si="47"/>
        <v>3515375.570512821</v>
      </c>
      <c r="G740" s="851">
        <f t="shared" si="50"/>
        <v>541875.15694897901</v>
      </c>
      <c r="H740" s="854">
        <f t="shared" si="51"/>
        <v>541875.15694897901</v>
      </c>
      <c r="I740" s="453">
        <f t="shared" si="48"/>
        <v>0</v>
      </c>
      <c r="J740" s="453"/>
      <c r="K740" s="566"/>
      <c r="L740" s="459"/>
      <c r="M740" s="566"/>
      <c r="N740" s="459"/>
      <c r="O740" s="459"/>
      <c r="P740" s="4"/>
    </row>
    <row r="741" spans="3:16">
      <c r="C741" s="449">
        <f>IF(D720="","-",+C740+1)</f>
        <v>2030</v>
      </c>
      <c r="D741" s="412">
        <f t="shared" si="49"/>
        <v>3515375.570512821</v>
      </c>
      <c r="E741" s="456">
        <f t="shared" si="52"/>
        <v>140615.02282051282</v>
      </c>
      <c r="F741" s="412">
        <f t="shared" si="47"/>
        <v>3374760.5476923082</v>
      </c>
      <c r="G741" s="851">
        <f t="shared" si="50"/>
        <v>526139.46541452943</v>
      </c>
      <c r="H741" s="854">
        <f t="shared" si="51"/>
        <v>526139.46541452943</v>
      </c>
      <c r="I741" s="453">
        <f t="shared" si="48"/>
        <v>0</v>
      </c>
      <c r="J741" s="453"/>
      <c r="K741" s="566"/>
      <c r="L741" s="459"/>
      <c r="M741" s="566"/>
      <c r="N741" s="459"/>
      <c r="O741" s="459"/>
      <c r="P741" s="4"/>
    </row>
    <row r="742" spans="3:16">
      <c r="C742" s="449">
        <f>IF(D720="","-",+C741+1)</f>
        <v>2031</v>
      </c>
      <c r="D742" s="412">
        <f t="shared" si="49"/>
        <v>3374760.5476923082</v>
      </c>
      <c r="E742" s="456">
        <f t="shared" si="52"/>
        <v>140615.02282051282</v>
      </c>
      <c r="F742" s="412">
        <f t="shared" si="47"/>
        <v>3234145.5248717954</v>
      </c>
      <c r="G742" s="851">
        <f t="shared" si="50"/>
        <v>510403.77388007974</v>
      </c>
      <c r="H742" s="854">
        <f t="shared" si="51"/>
        <v>510403.77388007974</v>
      </c>
      <c r="I742" s="453">
        <f t="shared" si="48"/>
        <v>0</v>
      </c>
      <c r="J742" s="453"/>
      <c r="K742" s="566"/>
      <c r="L742" s="459"/>
      <c r="M742" s="566"/>
      <c r="N742" s="459"/>
      <c r="O742" s="459"/>
      <c r="P742" s="4"/>
    </row>
    <row r="743" spans="3:16">
      <c r="C743" s="449">
        <f>IF(D720="","-",+C742+1)</f>
        <v>2032</v>
      </c>
      <c r="D743" s="412">
        <f t="shared" si="49"/>
        <v>3234145.5248717954</v>
      </c>
      <c r="E743" s="456">
        <f t="shared" si="52"/>
        <v>140615.02282051282</v>
      </c>
      <c r="F743" s="412">
        <f t="shared" si="47"/>
        <v>3093530.5020512827</v>
      </c>
      <c r="G743" s="851">
        <f t="shared" si="50"/>
        <v>494668.08234563004</v>
      </c>
      <c r="H743" s="854">
        <f t="shared" si="51"/>
        <v>494668.08234563004</v>
      </c>
      <c r="I743" s="453">
        <f t="shared" si="48"/>
        <v>0</v>
      </c>
      <c r="J743" s="453"/>
      <c r="K743" s="566"/>
      <c r="L743" s="459"/>
      <c r="M743" s="566"/>
      <c r="N743" s="459"/>
      <c r="O743" s="459"/>
      <c r="P743" s="4"/>
    </row>
    <row r="744" spans="3:16">
      <c r="C744" s="449">
        <f>IF(D720="","-",+C743+1)</f>
        <v>2033</v>
      </c>
      <c r="D744" s="412">
        <f t="shared" si="49"/>
        <v>3093530.5020512827</v>
      </c>
      <c r="E744" s="456">
        <f t="shared" si="52"/>
        <v>140615.02282051282</v>
      </c>
      <c r="F744" s="412">
        <f t="shared" si="47"/>
        <v>2952915.4792307699</v>
      </c>
      <c r="G744" s="851">
        <f t="shared" si="50"/>
        <v>478932.3908111804</v>
      </c>
      <c r="H744" s="854">
        <f t="shared" si="51"/>
        <v>478932.3908111804</v>
      </c>
      <c r="I744" s="453">
        <f t="shared" si="48"/>
        <v>0</v>
      </c>
      <c r="J744" s="453"/>
      <c r="K744" s="566"/>
      <c r="L744" s="459"/>
      <c r="M744" s="566"/>
      <c r="N744" s="459"/>
      <c r="O744" s="459"/>
      <c r="P744" s="4"/>
    </row>
    <row r="745" spans="3:16">
      <c r="C745" s="449">
        <f>IF(D720="","-",+C744+1)</f>
        <v>2034</v>
      </c>
      <c r="D745" s="412">
        <f t="shared" si="49"/>
        <v>2952915.4792307699</v>
      </c>
      <c r="E745" s="456">
        <f t="shared" si="52"/>
        <v>140615.02282051282</v>
      </c>
      <c r="F745" s="412">
        <f t="shared" si="47"/>
        <v>2812300.4564102571</v>
      </c>
      <c r="G745" s="851">
        <f t="shared" si="50"/>
        <v>463196.69927673077</v>
      </c>
      <c r="H745" s="854">
        <f t="shared" si="51"/>
        <v>463196.69927673077</v>
      </c>
      <c r="I745" s="453">
        <f t="shared" si="48"/>
        <v>0</v>
      </c>
      <c r="J745" s="453"/>
      <c r="K745" s="566"/>
      <c r="L745" s="459"/>
      <c r="M745" s="566"/>
      <c r="N745" s="459"/>
      <c r="O745" s="459"/>
      <c r="P745" s="4"/>
    </row>
    <row r="746" spans="3:16">
      <c r="C746" s="449">
        <f>IF(D720="","-",+C745+1)</f>
        <v>2035</v>
      </c>
      <c r="D746" s="412">
        <f t="shared" si="49"/>
        <v>2812300.4564102571</v>
      </c>
      <c r="E746" s="456">
        <f t="shared" si="52"/>
        <v>140615.02282051282</v>
      </c>
      <c r="F746" s="412">
        <f t="shared" si="47"/>
        <v>2671685.4335897444</v>
      </c>
      <c r="G746" s="851">
        <f t="shared" si="50"/>
        <v>447461.00774228113</v>
      </c>
      <c r="H746" s="854">
        <f t="shared" si="51"/>
        <v>447461.00774228113</v>
      </c>
      <c r="I746" s="453">
        <f t="shared" si="48"/>
        <v>0</v>
      </c>
      <c r="J746" s="453"/>
      <c r="K746" s="566"/>
      <c r="L746" s="459"/>
      <c r="M746" s="566"/>
      <c r="N746" s="459"/>
      <c r="O746" s="459"/>
      <c r="P746" s="4"/>
    </row>
    <row r="747" spans="3:16">
      <c r="C747" s="449">
        <f>IF(D720="","-",+C746+1)</f>
        <v>2036</v>
      </c>
      <c r="D747" s="412">
        <f t="shared" si="49"/>
        <v>2671685.4335897444</v>
      </c>
      <c r="E747" s="456">
        <f t="shared" si="52"/>
        <v>140615.02282051282</v>
      </c>
      <c r="F747" s="412">
        <f t="shared" si="47"/>
        <v>2531070.4107692316</v>
      </c>
      <c r="G747" s="851">
        <f t="shared" si="50"/>
        <v>431725.31620783149</v>
      </c>
      <c r="H747" s="854">
        <f t="shared" si="51"/>
        <v>431725.31620783149</v>
      </c>
      <c r="I747" s="453">
        <f t="shared" si="48"/>
        <v>0</v>
      </c>
      <c r="J747" s="453"/>
      <c r="K747" s="566"/>
      <c r="L747" s="459"/>
      <c r="M747" s="566"/>
      <c r="N747" s="459"/>
      <c r="O747" s="459"/>
      <c r="P747" s="4"/>
    </row>
    <row r="748" spans="3:16">
      <c r="C748" s="449">
        <f>IF(D720="","-",+C747+1)</f>
        <v>2037</v>
      </c>
      <c r="D748" s="412">
        <f t="shared" si="49"/>
        <v>2531070.4107692316</v>
      </c>
      <c r="E748" s="456">
        <f t="shared" si="52"/>
        <v>140615.02282051282</v>
      </c>
      <c r="F748" s="412">
        <f t="shared" si="47"/>
        <v>2390455.3879487189</v>
      </c>
      <c r="G748" s="851">
        <f t="shared" si="50"/>
        <v>415989.62467338186</v>
      </c>
      <c r="H748" s="854">
        <f t="shared" si="51"/>
        <v>415989.62467338186</v>
      </c>
      <c r="I748" s="453">
        <f t="shared" si="48"/>
        <v>0</v>
      </c>
      <c r="J748" s="453"/>
      <c r="K748" s="566"/>
      <c r="L748" s="459"/>
      <c r="M748" s="566"/>
      <c r="N748" s="459"/>
      <c r="O748" s="459"/>
      <c r="P748" s="4"/>
    </row>
    <row r="749" spans="3:16">
      <c r="C749" s="449">
        <f>IF(D720="","-",+C748+1)</f>
        <v>2038</v>
      </c>
      <c r="D749" s="412">
        <f t="shared" si="49"/>
        <v>2390455.3879487189</v>
      </c>
      <c r="E749" s="456">
        <f t="shared" si="52"/>
        <v>140615.02282051282</v>
      </c>
      <c r="F749" s="412">
        <f t="shared" si="47"/>
        <v>2249840.3651282061</v>
      </c>
      <c r="G749" s="851">
        <f t="shared" si="50"/>
        <v>400253.93313893222</v>
      </c>
      <c r="H749" s="854">
        <f t="shared" si="51"/>
        <v>400253.93313893222</v>
      </c>
      <c r="I749" s="453">
        <f t="shared" si="48"/>
        <v>0</v>
      </c>
      <c r="J749" s="453"/>
      <c r="K749" s="566"/>
      <c r="L749" s="459"/>
      <c r="M749" s="566"/>
      <c r="N749" s="459"/>
      <c r="O749" s="459"/>
      <c r="P749" s="4"/>
    </row>
    <row r="750" spans="3:16">
      <c r="C750" s="449">
        <f>IF(D720="","-",+C749+1)</f>
        <v>2039</v>
      </c>
      <c r="D750" s="412">
        <f t="shared" si="49"/>
        <v>2249840.3651282061</v>
      </c>
      <c r="E750" s="456">
        <f t="shared" si="52"/>
        <v>140615.02282051282</v>
      </c>
      <c r="F750" s="412">
        <f t="shared" si="47"/>
        <v>2109225.3423076933</v>
      </c>
      <c r="G750" s="851">
        <f t="shared" si="50"/>
        <v>384518.24160448252</v>
      </c>
      <c r="H750" s="854">
        <f t="shared" si="51"/>
        <v>384518.24160448252</v>
      </c>
      <c r="I750" s="453">
        <f t="shared" si="48"/>
        <v>0</v>
      </c>
      <c r="J750" s="453"/>
      <c r="K750" s="566"/>
      <c r="L750" s="459"/>
      <c r="M750" s="566"/>
      <c r="N750" s="459"/>
      <c r="O750" s="459"/>
      <c r="P750" s="4"/>
    </row>
    <row r="751" spans="3:16">
      <c r="C751" s="449">
        <f>IF(D720="","-",+C750+1)</f>
        <v>2040</v>
      </c>
      <c r="D751" s="412">
        <f t="shared" si="49"/>
        <v>2109225.3423076933</v>
      </c>
      <c r="E751" s="456">
        <f t="shared" si="52"/>
        <v>140615.02282051282</v>
      </c>
      <c r="F751" s="412">
        <f t="shared" si="47"/>
        <v>1968610.3194871806</v>
      </c>
      <c r="G751" s="851">
        <f t="shared" si="50"/>
        <v>368782.55007003288</v>
      </c>
      <c r="H751" s="854">
        <f t="shared" si="51"/>
        <v>368782.55007003288</v>
      </c>
      <c r="I751" s="453">
        <f t="shared" si="48"/>
        <v>0</v>
      </c>
      <c r="J751" s="453"/>
      <c r="K751" s="566"/>
      <c r="L751" s="459"/>
      <c r="M751" s="566"/>
      <c r="N751" s="459"/>
      <c r="O751" s="459"/>
      <c r="P751" s="4"/>
    </row>
    <row r="752" spans="3:16">
      <c r="C752" s="449">
        <f>IF(D720="","-",+C751+1)</f>
        <v>2041</v>
      </c>
      <c r="D752" s="412">
        <f t="shared" si="49"/>
        <v>1968610.3194871806</v>
      </c>
      <c r="E752" s="456">
        <f t="shared" si="52"/>
        <v>140615.02282051282</v>
      </c>
      <c r="F752" s="412">
        <f t="shared" si="47"/>
        <v>1827995.2966666678</v>
      </c>
      <c r="G752" s="851">
        <f t="shared" si="50"/>
        <v>353046.85853558325</v>
      </c>
      <c r="H752" s="854">
        <f t="shared" si="51"/>
        <v>353046.85853558325</v>
      </c>
      <c r="I752" s="453">
        <f t="shared" si="48"/>
        <v>0</v>
      </c>
      <c r="J752" s="453"/>
      <c r="K752" s="566"/>
      <c r="L752" s="459"/>
      <c r="M752" s="566"/>
      <c r="N752" s="459"/>
      <c r="O752" s="459"/>
      <c r="P752" s="4"/>
    </row>
    <row r="753" spans="3:16">
      <c r="C753" s="449">
        <f>IF(D720="","-",+C752+1)</f>
        <v>2042</v>
      </c>
      <c r="D753" s="412">
        <f t="shared" si="49"/>
        <v>1827995.2966666678</v>
      </c>
      <c r="E753" s="456">
        <f t="shared" si="52"/>
        <v>140615.02282051282</v>
      </c>
      <c r="F753" s="412">
        <f t="shared" si="47"/>
        <v>1687380.273846155</v>
      </c>
      <c r="G753" s="851">
        <f t="shared" si="50"/>
        <v>337311.16700113361</v>
      </c>
      <c r="H753" s="854">
        <f t="shared" si="51"/>
        <v>337311.16700113361</v>
      </c>
      <c r="I753" s="453">
        <f t="shared" si="48"/>
        <v>0</v>
      </c>
      <c r="J753" s="453"/>
      <c r="K753" s="566"/>
      <c r="L753" s="459"/>
      <c r="M753" s="566"/>
      <c r="N753" s="459"/>
      <c r="O753" s="459"/>
      <c r="P753" s="4"/>
    </row>
    <row r="754" spans="3:16">
      <c r="C754" s="449">
        <f>IF(D720="","-",+C753+1)</f>
        <v>2043</v>
      </c>
      <c r="D754" s="412">
        <f t="shared" si="49"/>
        <v>1687380.273846155</v>
      </c>
      <c r="E754" s="456">
        <f t="shared" si="52"/>
        <v>140615.02282051282</v>
      </c>
      <c r="F754" s="412">
        <f t="shared" si="47"/>
        <v>1546765.2510256423</v>
      </c>
      <c r="G754" s="860">
        <f t="shared" si="50"/>
        <v>321575.47546668397</v>
      </c>
      <c r="H754" s="854">
        <f t="shared" si="51"/>
        <v>321575.47546668397</v>
      </c>
      <c r="I754" s="453">
        <f t="shared" si="48"/>
        <v>0</v>
      </c>
      <c r="J754" s="453"/>
      <c r="K754" s="566"/>
      <c r="L754" s="459"/>
      <c r="M754" s="566"/>
      <c r="N754" s="459"/>
      <c r="O754" s="459"/>
      <c r="P754" s="4"/>
    </row>
    <row r="755" spans="3:16">
      <c r="C755" s="449">
        <f>IF(D720="","-",+C754+1)</f>
        <v>2044</v>
      </c>
      <c r="D755" s="412">
        <f t="shared" si="49"/>
        <v>1546765.2510256423</v>
      </c>
      <c r="E755" s="456">
        <f t="shared" si="52"/>
        <v>140615.02282051282</v>
      </c>
      <c r="F755" s="412">
        <f t="shared" si="47"/>
        <v>1406150.2282051295</v>
      </c>
      <c r="G755" s="851">
        <f t="shared" si="50"/>
        <v>305839.78393223428</v>
      </c>
      <c r="H755" s="854">
        <f t="shared" si="51"/>
        <v>305839.78393223428</v>
      </c>
      <c r="I755" s="453">
        <f t="shared" si="48"/>
        <v>0</v>
      </c>
      <c r="J755" s="453"/>
      <c r="K755" s="566"/>
      <c r="L755" s="459"/>
      <c r="M755" s="566"/>
      <c r="N755" s="459"/>
      <c r="O755" s="459"/>
      <c r="P755" s="4"/>
    </row>
    <row r="756" spans="3:16">
      <c r="C756" s="449">
        <f>IF(D720="","-",+C755+1)</f>
        <v>2045</v>
      </c>
      <c r="D756" s="412">
        <f t="shared" si="49"/>
        <v>1406150.2282051295</v>
      </c>
      <c r="E756" s="456">
        <f t="shared" si="52"/>
        <v>140615.02282051282</v>
      </c>
      <c r="F756" s="412">
        <f t="shared" si="47"/>
        <v>1265535.2053846167</v>
      </c>
      <c r="G756" s="851">
        <f t="shared" si="50"/>
        <v>290104.0923977847</v>
      </c>
      <c r="H756" s="854">
        <f t="shared" si="51"/>
        <v>290104.0923977847</v>
      </c>
      <c r="I756" s="453">
        <f t="shared" si="48"/>
        <v>0</v>
      </c>
      <c r="J756" s="453"/>
      <c r="K756" s="566"/>
      <c r="L756" s="459"/>
      <c r="M756" s="566"/>
      <c r="N756" s="459"/>
      <c r="O756" s="459"/>
      <c r="P756" s="4"/>
    </row>
    <row r="757" spans="3:16">
      <c r="C757" s="449">
        <f>IF(D720="","-",+C756+1)</f>
        <v>2046</v>
      </c>
      <c r="D757" s="412">
        <f t="shared" si="49"/>
        <v>1265535.2053846167</v>
      </c>
      <c r="E757" s="456">
        <f t="shared" si="52"/>
        <v>140615.02282051282</v>
      </c>
      <c r="F757" s="412">
        <f t="shared" si="47"/>
        <v>1124920.182564104</v>
      </c>
      <c r="G757" s="851">
        <f t="shared" si="50"/>
        <v>274368.400863335</v>
      </c>
      <c r="H757" s="854">
        <f t="shared" si="51"/>
        <v>274368.400863335</v>
      </c>
      <c r="I757" s="453">
        <f t="shared" si="48"/>
        <v>0</v>
      </c>
      <c r="J757" s="453"/>
      <c r="K757" s="566"/>
      <c r="L757" s="459"/>
      <c r="M757" s="566"/>
      <c r="N757" s="459"/>
      <c r="O757" s="459"/>
      <c r="P757" s="4"/>
    </row>
    <row r="758" spans="3:16">
      <c r="C758" s="449">
        <f>IF(D720="","-",+C757+1)</f>
        <v>2047</v>
      </c>
      <c r="D758" s="412">
        <f t="shared" si="49"/>
        <v>1124920.182564104</v>
      </c>
      <c r="E758" s="456">
        <f t="shared" si="52"/>
        <v>140615.02282051282</v>
      </c>
      <c r="F758" s="412">
        <f t="shared" si="47"/>
        <v>984305.15974359121</v>
      </c>
      <c r="G758" s="851">
        <f t="shared" si="50"/>
        <v>258632.70932888536</v>
      </c>
      <c r="H758" s="854">
        <f t="shared" si="51"/>
        <v>258632.70932888536</v>
      </c>
      <c r="I758" s="453">
        <f t="shared" si="48"/>
        <v>0</v>
      </c>
      <c r="J758" s="453"/>
      <c r="K758" s="566"/>
      <c r="L758" s="459"/>
      <c r="M758" s="566"/>
      <c r="N758" s="459"/>
      <c r="O758" s="459"/>
      <c r="P758" s="4"/>
    </row>
    <row r="759" spans="3:16">
      <c r="C759" s="449">
        <f>IF(D720="","-",+C758+1)</f>
        <v>2048</v>
      </c>
      <c r="D759" s="412">
        <f t="shared" si="49"/>
        <v>984305.15974359121</v>
      </c>
      <c r="E759" s="456">
        <f t="shared" si="52"/>
        <v>140615.02282051282</v>
      </c>
      <c r="F759" s="412">
        <f t="shared" si="47"/>
        <v>843690.13692307845</v>
      </c>
      <c r="G759" s="851">
        <f t="shared" si="50"/>
        <v>242897.01779443573</v>
      </c>
      <c r="H759" s="854">
        <f t="shared" si="51"/>
        <v>242897.01779443573</v>
      </c>
      <c r="I759" s="453">
        <f t="shared" si="48"/>
        <v>0</v>
      </c>
      <c r="J759" s="453"/>
      <c r="K759" s="566"/>
      <c r="L759" s="459"/>
      <c r="M759" s="566"/>
      <c r="N759" s="459"/>
      <c r="O759" s="459"/>
      <c r="P759" s="4"/>
    </row>
    <row r="760" spans="3:16">
      <c r="C760" s="449">
        <f>IF(D720="","-",+C759+1)</f>
        <v>2049</v>
      </c>
      <c r="D760" s="412">
        <f t="shared" si="49"/>
        <v>843690.13692307845</v>
      </c>
      <c r="E760" s="456">
        <f t="shared" si="52"/>
        <v>140615.02282051282</v>
      </c>
      <c r="F760" s="412">
        <f t="shared" si="47"/>
        <v>703075.11410256568</v>
      </c>
      <c r="G760" s="851">
        <f t="shared" si="50"/>
        <v>227161.32625998609</v>
      </c>
      <c r="H760" s="854">
        <f t="shared" si="51"/>
        <v>227161.32625998609</v>
      </c>
      <c r="I760" s="453">
        <f t="shared" si="48"/>
        <v>0</v>
      </c>
      <c r="J760" s="453"/>
      <c r="K760" s="566"/>
      <c r="L760" s="459"/>
      <c r="M760" s="566"/>
      <c r="N760" s="459"/>
      <c r="O760" s="459"/>
      <c r="P760" s="4"/>
    </row>
    <row r="761" spans="3:16">
      <c r="C761" s="449">
        <f>IF(D720="","-",+C760+1)</f>
        <v>2050</v>
      </c>
      <c r="D761" s="412">
        <f t="shared" si="49"/>
        <v>703075.11410256568</v>
      </c>
      <c r="E761" s="456">
        <f t="shared" si="52"/>
        <v>140615.02282051282</v>
      </c>
      <c r="F761" s="412">
        <f t="shared" si="47"/>
        <v>562460.09128205292</v>
      </c>
      <c r="G761" s="851">
        <f t="shared" si="50"/>
        <v>211425.63472553645</v>
      </c>
      <c r="H761" s="854">
        <f t="shared" si="51"/>
        <v>211425.63472553645</v>
      </c>
      <c r="I761" s="453">
        <f t="shared" si="48"/>
        <v>0</v>
      </c>
      <c r="J761" s="453"/>
      <c r="K761" s="566"/>
      <c r="L761" s="459"/>
      <c r="M761" s="566"/>
      <c r="N761" s="459"/>
      <c r="O761" s="459"/>
      <c r="P761" s="4"/>
    </row>
    <row r="762" spans="3:16">
      <c r="C762" s="449">
        <f>IF(D720="","-",+C761+1)</f>
        <v>2051</v>
      </c>
      <c r="D762" s="412">
        <f t="shared" si="49"/>
        <v>562460.09128205292</v>
      </c>
      <c r="E762" s="456">
        <f t="shared" si="52"/>
        <v>140615.02282051282</v>
      </c>
      <c r="F762" s="412">
        <f t="shared" si="47"/>
        <v>421845.0684615401</v>
      </c>
      <c r="G762" s="851">
        <f t="shared" si="50"/>
        <v>195689.94319108679</v>
      </c>
      <c r="H762" s="854">
        <f t="shared" si="51"/>
        <v>195689.94319108679</v>
      </c>
      <c r="I762" s="453">
        <f t="shared" si="48"/>
        <v>0</v>
      </c>
      <c r="J762" s="453"/>
      <c r="K762" s="566"/>
      <c r="L762" s="459"/>
      <c r="M762" s="566"/>
      <c r="N762" s="459"/>
      <c r="O762" s="459"/>
      <c r="P762" s="4"/>
    </row>
    <row r="763" spans="3:16">
      <c r="C763" s="449">
        <f>IF(D720="","-",+C762+1)</f>
        <v>2052</v>
      </c>
      <c r="D763" s="412">
        <f t="shared" si="49"/>
        <v>421845.0684615401</v>
      </c>
      <c r="E763" s="456">
        <f t="shared" si="52"/>
        <v>140615.02282051282</v>
      </c>
      <c r="F763" s="412">
        <f t="shared" si="47"/>
        <v>281230.04564102727</v>
      </c>
      <c r="G763" s="851">
        <f t="shared" si="50"/>
        <v>179954.25165663712</v>
      </c>
      <c r="H763" s="854">
        <f t="shared" si="51"/>
        <v>179954.25165663712</v>
      </c>
      <c r="I763" s="453">
        <f t="shared" si="48"/>
        <v>0</v>
      </c>
      <c r="J763" s="453"/>
      <c r="K763" s="566"/>
      <c r="L763" s="459"/>
      <c r="M763" s="566"/>
      <c r="N763" s="459"/>
      <c r="O763" s="459"/>
      <c r="P763" s="4"/>
    </row>
    <row r="764" spans="3:16">
      <c r="C764" s="449">
        <f>IF(D720="","-",+C763+1)</f>
        <v>2053</v>
      </c>
      <c r="D764" s="412">
        <f t="shared" si="49"/>
        <v>281230.04564102727</v>
      </c>
      <c r="E764" s="456">
        <f t="shared" si="52"/>
        <v>140615.02282051282</v>
      </c>
      <c r="F764" s="412">
        <f t="shared" si="47"/>
        <v>140615.02282051445</v>
      </c>
      <c r="G764" s="851">
        <f t="shared" si="50"/>
        <v>164218.56012218748</v>
      </c>
      <c r="H764" s="854">
        <f t="shared" si="51"/>
        <v>164218.56012218748</v>
      </c>
      <c r="I764" s="453">
        <f t="shared" si="48"/>
        <v>0</v>
      </c>
      <c r="J764" s="453"/>
      <c r="K764" s="566"/>
      <c r="L764" s="459"/>
      <c r="M764" s="566"/>
      <c r="N764" s="459"/>
      <c r="O764" s="459"/>
      <c r="P764" s="4"/>
    </row>
    <row r="765" spans="3:16">
      <c r="C765" s="449">
        <f>IF(D720="","-",+C764+1)</f>
        <v>2054</v>
      </c>
      <c r="D765" s="412">
        <f t="shared" si="49"/>
        <v>140615.02282051445</v>
      </c>
      <c r="E765" s="456">
        <f t="shared" si="52"/>
        <v>140615.02282051282</v>
      </c>
      <c r="F765" s="412">
        <f t="shared" si="47"/>
        <v>1.6298145055770874E-9</v>
      </c>
      <c r="G765" s="851">
        <f t="shared" si="50"/>
        <v>148482.86858773784</v>
      </c>
      <c r="H765" s="854">
        <f t="shared" si="51"/>
        <v>148482.86858773784</v>
      </c>
      <c r="I765" s="453">
        <f t="shared" si="48"/>
        <v>0</v>
      </c>
      <c r="J765" s="453"/>
      <c r="K765" s="566"/>
      <c r="L765" s="459"/>
      <c r="M765" s="566"/>
      <c r="N765" s="459"/>
      <c r="O765" s="459"/>
      <c r="P765" s="4"/>
    </row>
    <row r="766" spans="3:16">
      <c r="C766" s="449">
        <f>IF(D720="","-",+C765+1)</f>
        <v>2055</v>
      </c>
      <c r="D766" s="412">
        <f t="shared" si="49"/>
        <v>1.6298145055770874E-9</v>
      </c>
      <c r="E766" s="456">
        <f t="shared" si="52"/>
        <v>1.6298145055770874E-9</v>
      </c>
      <c r="F766" s="412">
        <f t="shared" si="47"/>
        <v>0</v>
      </c>
      <c r="G766" s="851">
        <f t="shared" si="50"/>
        <v>1.721007671867963E-9</v>
      </c>
      <c r="H766" s="854">
        <f t="shared" si="51"/>
        <v>1.721007671867963E-9</v>
      </c>
      <c r="I766" s="453">
        <f t="shared" si="48"/>
        <v>0</v>
      </c>
      <c r="J766" s="453"/>
      <c r="K766" s="566"/>
      <c r="L766" s="459"/>
      <c r="M766" s="566"/>
      <c r="N766" s="459"/>
      <c r="O766" s="459"/>
      <c r="P766" s="4"/>
    </row>
    <row r="767" spans="3:16">
      <c r="C767" s="449">
        <f>IF(D720="","-",+C766+1)</f>
        <v>2056</v>
      </c>
      <c r="D767" s="412">
        <f t="shared" si="49"/>
        <v>0</v>
      </c>
      <c r="E767" s="456">
        <f t="shared" si="52"/>
        <v>0</v>
      </c>
      <c r="F767" s="412">
        <f t="shared" si="47"/>
        <v>0</v>
      </c>
      <c r="G767" s="851">
        <f t="shared" si="50"/>
        <v>0</v>
      </c>
      <c r="H767" s="854">
        <f t="shared" si="51"/>
        <v>0</v>
      </c>
      <c r="I767" s="453">
        <f t="shared" si="48"/>
        <v>0</v>
      </c>
      <c r="J767" s="453"/>
      <c r="K767" s="566"/>
      <c r="L767" s="459"/>
      <c r="M767" s="566"/>
      <c r="N767" s="459"/>
      <c r="O767" s="459"/>
      <c r="P767" s="4"/>
    </row>
    <row r="768" spans="3:16">
      <c r="C768" s="449">
        <f>IF(D720="","-",+C767+1)</f>
        <v>2057</v>
      </c>
      <c r="D768" s="412">
        <f t="shared" si="49"/>
        <v>0</v>
      </c>
      <c r="E768" s="456">
        <f t="shared" si="52"/>
        <v>0</v>
      </c>
      <c r="F768" s="412">
        <f t="shared" si="47"/>
        <v>0</v>
      </c>
      <c r="G768" s="851">
        <f t="shared" si="50"/>
        <v>0</v>
      </c>
      <c r="H768" s="854">
        <f t="shared" si="51"/>
        <v>0</v>
      </c>
      <c r="I768" s="453">
        <f t="shared" si="48"/>
        <v>0</v>
      </c>
      <c r="J768" s="453"/>
      <c r="K768" s="566"/>
      <c r="L768" s="459"/>
      <c r="M768" s="566"/>
      <c r="N768" s="459"/>
      <c r="O768" s="459"/>
      <c r="P768" s="4"/>
    </row>
    <row r="769" spans="3:16">
      <c r="C769" s="449">
        <f>IF(D720="","-",+C768+1)</f>
        <v>2058</v>
      </c>
      <c r="D769" s="412">
        <f t="shared" si="49"/>
        <v>0</v>
      </c>
      <c r="E769" s="456">
        <f t="shared" si="52"/>
        <v>0</v>
      </c>
      <c r="F769" s="412">
        <f t="shared" si="47"/>
        <v>0</v>
      </c>
      <c r="G769" s="851">
        <f t="shared" si="50"/>
        <v>0</v>
      </c>
      <c r="H769" s="854">
        <f t="shared" si="51"/>
        <v>0</v>
      </c>
      <c r="I769" s="453">
        <f t="shared" si="48"/>
        <v>0</v>
      </c>
      <c r="J769" s="453"/>
      <c r="K769" s="566"/>
      <c r="L769" s="459"/>
      <c r="M769" s="566"/>
      <c r="N769" s="459"/>
      <c r="O769" s="459"/>
      <c r="P769" s="4"/>
    </row>
    <row r="770" spans="3:16">
      <c r="C770" s="449">
        <f>IF(D720="","-",+C769+1)</f>
        <v>2059</v>
      </c>
      <c r="D770" s="412">
        <f t="shared" si="49"/>
        <v>0</v>
      </c>
      <c r="E770" s="456">
        <f t="shared" si="52"/>
        <v>0</v>
      </c>
      <c r="F770" s="412">
        <f t="shared" si="47"/>
        <v>0</v>
      </c>
      <c r="G770" s="851">
        <f t="shared" si="50"/>
        <v>0</v>
      </c>
      <c r="H770" s="854">
        <f t="shared" si="51"/>
        <v>0</v>
      </c>
      <c r="I770" s="453">
        <f t="shared" si="48"/>
        <v>0</v>
      </c>
      <c r="J770" s="453"/>
      <c r="K770" s="566"/>
      <c r="L770" s="459"/>
      <c r="M770" s="566"/>
      <c r="N770" s="459"/>
      <c r="O770" s="459"/>
      <c r="P770" s="4"/>
    </row>
    <row r="771" spans="3:16">
      <c r="C771" s="449">
        <f>IF(D720="","-",+C770+1)</f>
        <v>2060</v>
      </c>
      <c r="D771" s="412">
        <f t="shared" si="49"/>
        <v>0</v>
      </c>
      <c r="E771" s="456">
        <f t="shared" si="52"/>
        <v>0</v>
      </c>
      <c r="F771" s="412">
        <f t="shared" si="47"/>
        <v>0</v>
      </c>
      <c r="G771" s="851">
        <f t="shared" si="50"/>
        <v>0</v>
      </c>
      <c r="H771" s="854">
        <f t="shared" si="51"/>
        <v>0</v>
      </c>
      <c r="I771" s="453">
        <f t="shared" si="48"/>
        <v>0</v>
      </c>
      <c r="J771" s="453"/>
      <c r="K771" s="566"/>
      <c r="L771" s="459"/>
      <c r="M771" s="566"/>
      <c r="N771" s="459"/>
      <c r="O771" s="459"/>
      <c r="P771" s="4"/>
    </row>
    <row r="772" spans="3:16">
      <c r="C772" s="449">
        <f>IF(D720="","-",+C771+1)</f>
        <v>2061</v>
      </c>
      <c r="D772" s="412">
        <f t="shared" si="49"/>
        <v>0</v>
      </c>
      <c r="E772" s="456">
        <f t="shared" si="52"/>
        <v>0</v>
      </c>
      <c r="F772" s="412">
        <f t="shared" si="47"/>
        <v>0</v>
      </c>
      <c r="G772" s="851">
        <f t="shared" si="50"/>
        <v>0</v>
      </c>
      <c r="H772" s="854">
        <f t="shared" si="51"/>
        <v>0</v>
      </c>
      <c r="I772" s="453">
        <f t="shared" si="48"/>
        <v>0</v>
      </c>
      <c r="J772" s="453"/>
      <c r="K772" s="566"/>
      <c r="L772" s="459"/>
      <c r="M772" s="566"/>
      <c r="N772" s="459"/>
      <c r="O772" s="459"/>
      <c r="P772" s="4"/>
    </row>
    <row r="773" spans="3:16">
      <c r="C773" s="449">
        <f>IF(D720="","-",+C772+1)</f>
        <v>2062</v>
      </c>
      <c r="D773" s="412">
        <f t="shared" si="49"/>
        <v>0</v>
      </c>
      <c r="E773" s="456">
        <f t="shared" si="52"/>
        <v>0</v>
      </c>
      <c r="F773" s="412">
        <f t="shared" si="47"/>
        <v>0</v>
      </c>
      <c r="G773" s="851">
        <f t="shared" si="50"/>
        <v>0</v>
      </c>
      <c r="H773" s="854">
        <f t="shared" si="51"/>
        <v>0</v>
      </c>
      <c r="I773" s="453">
        <f t="shared" si="48"/>
        <v>0</v>
      </c>
      <c r="J773" s="453"/>
      <c r="K773" s="566"/>
      <c r="L773" s="459"/>
      <c r="M773" s="566"/>
      <c r="N773" s="459"/>
      <c r="O773" s="459"/>
      <c r="P773" s="4"/>
    </row>
    <row r="774" spans="3:16">
      <c r="C774" s="449">
        <f>IF(D720="","-",+C773+1)</f>
        <v>2063</v>
      </c>
      <c r="D774" s="412">
        <f t="shared" si="49"/>
        <v>0</v>
      </c>
      <c r="E774" s="456">
        <f t="shared" si="52"/>
        <v>0</v>
      </c>
      <c r="F774" s="412">
        <f t="shared" si="47"/>
        <v>0</v>
      </c>
      <c r="G774" s="851">
        <f t="shared" si="50"/>
        <v>0</v>
      </c>
      <c r="H774" s="854">
        <f t="shared" si="51"/>
        <v>0</v>
      </c>
      <c r="I774" s="453">
        <f t="shared" si="48"/>
        <v>0</v>
      </c>
      <c r="J774" s="453"/>
      <c r="K774" s="566"/>
      <c r="L774" s="459"/>
      <c r="M774" s="566"/>
      <c r="N774" s="459"/>
      <c r="O774" s="459"/>
      <c r="P774" s="4"/>
    </row>
    <row r="775" spans="3:16">
      <c r="C775" s="449">
        <f>IF(D720="","-",+C774+1)</f>
        <v>2064</v>
      </c>
      <c r="D775" s="412">
        <f t="shared" si="49"/>
        <v>0</v>
      </c>
      <c r="E775" s="456">
        <f t="shared" si="52"/>
        <v>0</v>
      </c>
      <c r="F775" s="412">
        <f t="shared" si="47"/>
        <v>0</v>
      </c>
      <c r="G775" s="851">
        <f t="shared" si="50"/>
        <v>0</v>
      </c>
      <c r="H775" s="854">
        <f t="shared" si="51"/>
        <v>0</v>
      </c>
      <c r="I775" s="453">
        <f t="shared" si="48"/>
        <v>0</v>
      </c>
      <c r="J775" s="453"/>
      <c r="K775" s="566"/>
      <c r="L775" s="459"/>
      <c r="M775" s="566"/>
      <c r="N775" s="459"/>
      <c r="O775" s="459"/>
      <c r="P775" s="4"/>
    </row>
    <row r="776" spans="3:16">
      <c r="C776" s="449">
        <f>IF(D720="","-",+C775+1)</f>
        <v>2065</v>
      </c>
      <c r="D776" s="412">
        <f t="shared" si="49"/>
        <v>0</v>
      </c>
      <c r="E776" s="456">
        <f t="shared" si="52"/>
        <v>0</v>
      </c>
      <c r="F776" s="412">
        <f t="shared" si="47"/>
        <v>0</v>
      </c>
      <c r="G776" s="851">
        <f t="shared" si="50"/>
        <v>0</v>
      </c>
      <c r="H776" s="854">
        <f t="shared" si="51"/>
        <v>0</v>
      </c>
      <c r="I776" s="453">
        <f t="shared" si="48"/>
        <v>0</v>
      </c>
      <c r="J776" s="453"/>
      <c r="K776" s="566"/>
      <c r="L776" s="459"/>
      <c r="M776" s="566"/>
      <c r="N776" s="459"/>
      <c r="O776" s="459"/>
      <c r="P776" s="4"/>
    </row>
    <row r="777" spans="3:16">
      <c r="C777" s="449">
        <f>IF(D720="","-",+C776+1)</f>
        <v>2066</v>
      </c>
      <c r="D777" s="412">
        <f t="shared" si="49"/>
        <v>0</v>
      </c>
      <c r="E777" s="456">
        <f t="shared" si="52"/>
        <v>0</v>
      </c>
      <c r="F777" s="412">
        <f t="shared" si="47"/>
        <v>0</v>
      </c>
      <c r="G777" s="851">
        <f t="shared" si="50"/>
        <v>0</v>
      </c>
      <c r="H777" s="854">
        <f t="shared" si="51"/>
        <v>0</v>
      </c>
      <c r="I777" s="453">
        <f t="shared" si="48"/>
        <v>0</v>
      </c>
      <c r="J777" s="453"/>
      <c r="K777" s="566"/>
      <c r="L777" s="459"/>
      <c r="M777" s="566"/>
      <c r="N777" s="459"/>
      <c r="O777" s="459"/>
      <c r="P777" s="4"/>
    </row>
    <row r="778" spans="3:16">
      <c r="C778" s="449">
        <f>IF(D720="","-",+C777+1)</f>
        <v>2067</v>
      </c>
      <c r="D778" s="412">
        <f t="shared" si="49"/>
        <v>0</v>
      </c>
      <c r="E778" s="456">
        <f t="shared" si="52"/>
        <v>0</v>
      </c>
      <c r="F778" s="412">
        <f t="shared" si="47"/>
        <v>0</v>
      </c>
      <c r="G778" s="851">
        <f t="shared" si="50"/>
        <v>0</v>
      </c>
      <c r="H778" s="854">
        <f t="shared" si="51"/>
        <v>0</v>
      </c>
      <c r="I778" s="453">
        <f t="shared" si="48"/>
        <v>0</v>
      </c>
      <c r="J778" s="453"/>
      <c r="K778" s="566"/>
      <c r="L778" s="459"/>
      <c r="M778" s="566"/>
      <c r="N778" s="459"/>
      <c r="O778" s="459"/>
      <c r="P778" s="4"/>
    </row>
    <row r="779" spans="3:16">
      <c r="C779" s="449">
        <f>IF(D720="","-",+C778+1)</f>
        <v>2068</v>
      </c>
      <c r="D779" s="412">
        <f t="shared" si="49"/>
        <v>0</v>
      </c>
      <c r="E779" s="456">
        <f t="shared" si="52"/>
        <v>0</v>
      </c>
      <c r="F779" s="412">
        <f t="shared" si="47"/>
        <v>0</v>
      </c>
      <c r="G779" s="851">
        <f t="shared" si="50"/>
        <v>0</v>
      </c>
      <c r="H779" s="854">
        <f t="shared" si="51"/>
        <v>0</v>
      </c>
      <c r="I779" s="453">
        <f t="shared" si="48"/>
        <v>0</v>
      </c>
      <c r="J779" s="453"/>
      <c r="K779" s="566"/>
      <c r="L779" s="459"/>
      <c r="M779" s="566"/>
      <c r="N779" s="459"/>
      <c r="O779" s="459"/>
      <c r="P779" s="4"/>
    </row>
    <row r="780" spans="3:16">
      <c r="C780" s="449">
        <f>IF(D720="","-",+C779+1)</f>
        <v>2069</v>
      </c>
      <c r="D780" s="412">
        <f t="shared" si="49"/>
        <v>0</v>
      </c>
      <c r="E780" s="456">
        <f t="shared" si="52"/>
        <v>0</v>
      </c>
      <c r="F780" s="412">
        <f t="shared" si="47"/>
        <v>0</v>
      </c>
      <c r="G780" s="851">
        <f t="shared" si="50"/>
        <v>0</v>
      </c>
      <c r="H780" s="854">
        <f t="shared" si="51"/>
        <v>0</v>
      </c>
      <c r="I780" s="453">
        <f t="shared" si="48"/>
        <v>0</v>
      </c>
      <c r="J780" s="453"/>
      <c r="K780" s="566"/>
      <c r="L780" s="459"/>
      <c r="M780" s="566"/>
      <c r="N780" s="459"/>
      <c r="O780" s="459"/>
      <c r="P780" s="4"/>
    </row>
    <row r="781" spans="3:16">
      <c r="C781" s="449">
        <f>IF(D720="","-",+C780+1)</f>
        <v>2070</v>
      </c>
      <c r="D781" s="412">
        <f t="shared" si="49"/>
        <v>0</v>
      </c>
      <c r="E781" s="456">
        <f t="shared" si="52"/>
        <v>0</v>
      </c>
      <c r="F781" s="412">
        <f t="shared" si="47"/>
        <v>0</v>
      </c>
      <c r="G781" s="851">
        <f t="shared" si="50"/>
        <v>0</v>
      </c>
      <c r="H781" s="854">
        <f t="shared" si="51"/>
        <v>0</v>
      </c>
      <c r="I781" s="453">
        <f t="shared" si="48"/>
        <v>0</v>
      </c>
      <c r="J781" s="453"/>
      <c r="K781" s="566"/>
      <c r="L781" s="459"/>
      <c r="M781" s="566"/>
      <c r="N781" s="459"/>
      <c r="O781" s="459"/>
      <c r="P781" s="4"/>
    </row>
    <row r="782" spans="3:16">
      <c r="C782" s="449">
        <f>IF(D720="","-",+C781+1)</f>
        <v>2071</v>
      </c>
      <c r="D782" s="412">
        <f t="shared" si="49"/>
        <v>0</v>
      </c>
      <c r="E782" s="456">
        <f t="shared" si="52"/>
        <v>0</v>
      </c>
      <c r="F782" s="412">
        <f t="shared" si="47"/>
        <v>0</v>
      </c>
      <c r="G782" s="851">
        <f t="shared" si="50"/>
        <v>0</v>
      </c>
      <c r="H782" s="854">
        <f t="shared" si="51"/>
        <v>0</v>
      </c>
      <c r="I782" s="453">
        <f t="shared" si="48"/>
        <v>0</v>
      </c>
      <c r="J782" s="453"/>
      <c r="K782" s="566"/>
      <c r="L782" s="459"/>
      <c r="M782" s="566"/>
      <c r="N782" s="459"/>
      <c r="O782" s="459"/>
      <c r="P782" s="4"/>
    </row>
    <row r="783" spans="3:16">
      <c r="C783" s="449">
        <f>IF(D720="","-",+C782+1)</f>
        <v>2072</v>
      </c>
      <c r="D783" s="412">
        <f t="shared" si="49"/>
        <v>0</v>
      </c>
      <c r="E783" s="456">
        <f t="shared" si="52"/>
        <v>0</v>
      </c>
      <c r="F783" s="412">
        <f t="shared" si="47"/>
        <v>0</v>
      </c>
      <c r="G783" s="851">
        <f t="shared" si="50"/>
        <v>0</v>
      </c>
      <c r="H783" s="854">
        <f t="shared" si="51"/>
        <v>0</v>
      </c>
      <c r="I783" s="453">
        <f t="shared" si="48"/>
        <v>0</v>
      </c>
      <c r="J783" s="453"/>
      <c r="K783" s="566"/>
      <c r="L783" s="459"/>
      <c r="M783" s="566"/>
      <c r="N783" s="459"/>
      <c r="O783" s="459"/>
      <c r="P783" s="4"/>
    </row>
    <row r="784" spans="3:16">
      <c r="C784" s="449">
        <f>IF(D720="","-",+C783+1)</f>
        <v>2073</v>
      </c>
      <c r="D784" s="412">
        <f t="shared" si="49"/>
        <v>0</v>
      </c>
      <c r="E784" s="456">
        <f t="shared" si="52"/>
        <v>0</v>
      </c>
      <c r="F784" s="412">
        <f t="shared" si="47"/>
        <v>0</v>
      </c>
      <c r="G784" s="851">
        <f t="shared" si="50"/>
        <v>0</v>
      </c>
      <c r="H784" s="854">
        <f t="shared" si="51"/>
        <v>0</v>
      </c>
      <c r="I784" s="453">
        <f t="shared" si="48"/>
        <v>0</v>
      </c>
      <c r="J784" s="453"/>
      <c r="K784" s="566"/>
      <c r="L784" s="459"/>
      <c r="M784" s="566"/>
      <c r="N784" s="459"/>
      <c r="O784" s="459"/>
      <c r="P784" s="4"/>
    </row>
    <row r="785" spans="1:16" ht="13.5" thickBot="1">
      <c r="C785" s="461">
        <f>IF(D720="","-",+C784+1)</f>
        <v>2074</v>
      </c>
      <c r="D785" s="462">
        <f t="shared" si="49"/>
        <v>0</v>
      </c>
      <c r="E785" s="463">
        <f t="shared" si="52"/>
        <v>0</v>
      </c>
      <c r="F785" s="462">
        <f t="shared" si="47"/>
        <v>0</v>
      </c>
      <c r="G785" s="861">
        <f t="shared" si="50"/>
        <v>0</v>
      </c>
      <c r="H785" s="861">
        <f t="shared" si="51"/>
        <v>0</v>
      </c>
      <c r="I785" s="465">
        <f t="shared" si="48"/>
        <v>0</v>
      </c>
      <c r="J785" s="453"/>
      <c r="K785" s="567"/>
      <c r="L785" s="467"/>
      <c r="M785" s="567"/>
      <c r="N785" s="467"/>
      <c r="O785" s="467"/>
      <c r="P785" s="4"/>
    </row>
    <row r="786" spans="1:16">
      <c r="C786" s="412" t="s">
        <v>288</v>
      </c>
      <c r="D786" s="832"/>
      <c r="E786" s="832">
        <f>SUM(E726:E785)</f>
        <v>5483985.8900000006</v>
      </c>
      <c r="F786" s="832"/>
      <c r="G786" s="832">
        <f>SUM(G726:G785)</f>
        <v>18064671.271792497</v>
      </c>
      <c r="H786" s="832">
        <f>SUM(H726:H785)</f>
        <v>18064671.271792497</v>
      </c>
      <c r="I786" s="832">
        <f>SUM(I726:I785)</f>
        <v>0</v>
      </c>
      <c r="J786" s="832"/>
      <c r="K786" s="832"/>
      <c r="L786" s="832"/>
      <c r="M786" s="832"/>
      <c r="N786" s="832"/>
      <c r="O786" s="4"/>
      <c r="P786" s="4"/>
    </row>
    <row r="787" spans="1:16">
      <c r="D787" s="67"/>
      <c r="E787" s="4"/>
      <c r="F787" s="4"/>
      <c r="G787" s="4"/>
      <c r="H787" s="831"/>
      <c r="I787" s="831"/>
      <c r="J787" s="832"/>
      <c r="K787" s="831"/>
      <c r="L787" s="831"/>
      <c r="M787" s="831"/>
      <c r="N787" s="831"/>
      <c r="O787" s="4"/>
      <c r="P787" s="4"/>
    </row>
    <row r="788" spans="1:16">
      <c r="C788" s="4" t="s">
        <v>601</v>
      </c>
      <c r="D788" s="67"/>
      <c r="E788" s="4"/>
      <c r="F788" s="4"/>
      <c r="G788" s="4"/>
      <c r="H788" s="831"/>
      <c r="I788" s="831"/>
      <c r="J788" s="832"/>
      <c r="K788" s="831"/>
      <c r="L788" s="831"/>
      <c r="M788" s="831"/>
      <c r="N788" s="831"/>
      <c r="O788" s="4"/>
      <c r="P788" s="4"/>
    </row>
    <row r="789" spans="1:16">
      <c r="D789" s="67"/>
      <c r="E789" s="4"/>
      <c r="F789" s="4"/>
      <c r="G789" s="4"/>
      <c r="H789" s="831"/>
      <c r="I789" s="831"/>
      <c r="J789" s="832"/>
      <c r="K789" s="831"/>
      <c r="L789" s="831"/>
      <c r="M789" s="831"/>
      <c r="N789" s="831"/>
      <c r="O789" s="4"/>
      <c r="P789" s="4"/>
    </row>
    <row r="790" spans="1:16">
      <c r="C790" s="4" t="s">
        <v>602</v>
      </c>
      <c r="D790" s="412"/>
      <c r="E790" s="412"/>
      <c r="F790" s="412"/>
      <c r="G790" s="832"/>
      <c r="H790" s="832"/>
      <c r="I790" s="414"/>
      <c r="J790" s="414"/>
      <c r="K790" s="414"/>
      <c r="L790" s="414"/>
      <c r="M790" s="414"/>
      <c r="N790" s="414"/>
      <c r="O790" s="4"/>
      <c r="P790" s="4"/>
    </row>
    <row r="791" spans="1:16">
      <c r="C791" s="4" t="s">
        <v>476</v>
      </c>
      <c r="D791" s="412"/>
      <c r="E791" s="412"/>
      <c r="F791" s="412"/>
      <c r="G791" s="832"/>
      <c r="H791" s="832"/>
      <c r="I791" s="414"/>
      <c r="J791" s="414"/>
      <c r="K791" s="414"/>
      <c r="L791" s="414"/>
      <c r="M791" s="414"/>
      <c r="N791" s="414"/>
      <c r="O791" s="4"/>
      <c r="P791" s="4"/>
    </row>
    <row r="792" spans="1:16">
      <c r="C792" s="4" t="s">
        <v>289</v>
      </c>
      <c r="D792" s="412"/>
      <c r="E792" s="412"/>
      <c r="F792" s="412"/>
      <c r="G792" s="832"/>
      <c r="H792" s="832"/>
      <c r="I792" s="414"/>
      <c r="J792" s="414"/>
      <c r="K792" s="414"/>
      <c r="L792" s="414"/>
      <c r="M792" s="414"/>
      <c r="N792" s="414"/>
      <c r="O792" s="4"/>
      <c r="P792" s="4"/>
    </row>
    <row r="793" spans="1:16">
      <c r="C793" s="413"/>
      <c r="D793" s="412"/>
      <c r="E793" s="412"/>
      <c r="F793" s="412"/>
      <c r="G793" s="832"/>
      <c r="H793" s="832"/>
      <c r="I793" s="414"/>
      <c r="J793" s="414"/>
      <c r="K793" s="414"/>
      <c r="L793" s="414"/>
      <c r="M793" s="414"/>
      <c r="N793" s="414"/>
      <c r="O793" s="4"/>
      <c r="P793" s="4"/>
    </row>
    <row r="794" spans="1:16">
      <c r="C794" s="1279" t="s">
        <v>460</v>
      </c>
      <c r="D794" s="1279"/>
      <c r="E794" s="1279"/>
      <c r="F794" s="1279"/>
      <c r="G794" s="1279"/>
      <c r="H794" s="1279"/>
      <c r="I794" s="1279"/>
      <c r="J794" s="1279"/>
      <c r="K794" s="1279"/>
      <c r="L794" s="1279"/>
      <c r="M794" s="1279"/>
      <c r="N794" s="1279"/>
      <c r="O794" s="1279"/>
      <c r="P794" s="4"/>
    </row>
    <row r="795" spans="1:16">
      <c r="C795" s="1279"/>
      <c r="D795" s="1279"/>
      <c r="E795" s="1279"/>
      <c r="F795" s="1279"/>
      <c r="G795" s="1279"/>
      <c r="H795" s="1279"/>
      <c r="I795" s="1279"/>
      <c r="J795" s="1279"/>
      <c r="K795" s="1279"/>
      <c r="L795" s="1279"/>
      <c r="M795" s="1279"/>
      <c r="N795" s="1279"/>
      <c r="O795" s="1279"/>
      <c r="P795" s="4"/>
    </row>
    <row r="796" spans="1:16" ht="20.25">
      <c r="A796" s="352" t="s">
        <v>929</v>
      </c>
      <c r="B796" s="4"/>
      <c r="C796" s="4"/>
      <c r="D796" s="67"/>
      <c r="E796" s="4"/>
      <c r="F796" s="394"/>
      <c r="G796" s="4"/>
      <c r="H796" s="831"/>
      <c r="K796" s="353"/>
      <c r="L796" s="353"/>
      <c r="M796" s="353"/>
      <c r="N796" s="353" t="str">
        <f>"Page "&amp;SUM(P$6:P796)&amp;" of "</f>
        <v xml:space="preserve">Page 10 of </v>
      </c>
      <c r="O796" s="354">
        <f>COUNT(P$6:P$59606)</f>
        <v>18</v>
      </c>
      <c r="P796" s="4">
        <v>1</v>
      </c>
    </row>
    <row r="797" spans="1:16">
      <c r="B797" s="4"/>
      <c r="C797" s="4"/>
      <c r="D797" s="67"/>
      <c r="E797" s="4"/>
      <c r="F797" s="4"/>
      <c r="G797" s="4"/>
      <c r="H797" s="831"/>
      <c r="I797" s="4"/>
      <c r="J797" s="4"/>
      <c r="K797" s="4"/>
      <c r="L797" s="4"/>
      <c r="M797" s="4"/>
      <c r="N797" s="4"/>
      <c r="O797" s="4"/>
      <c r="P797" s="4"/>
    </row>
    <row r="798" spans="1:16" ht="18">
      <c r="B798" s="355" t="s">
        <v>174</v>
      </c>
      <c r="C798" s="415" t="s">
        <v>290</v>
      </c>
      <c r="D798" s="67"/>
      <c r="E798" s="4"/>
      <c r="F798" s="4"/>
      <c r="G798" s="4"/>
      <c r="H798" s="831"/>
      <c r="I798" s="831"/>
      <c r="J798" s="832"/>
      <c r="K798" s="831"/>
      <c r="L798" s="831"/>
      <c r="M798" s="831"/>
      <c r="N798" s="831"/>
      <c r="O798" s="4"/>
      <c r="P798" s="4"/>
    </row>
    <row r="799" spans="1:16" ht="18.75">
      <c r="B799" s="355"/>
      <c r="C799" s="11"/>
      <c r="D799" s="67"/>
      <c r="E799" s="4"/>
      <c r="F799" s="4"/>
      <c r="G799" s="4"/>
      <c r="H799" s="831"/>
      <c r="I799" s="831"/>
      <c r="J799" s="832"/>
      <c r="K799" s="831"/>
      <c r="L799" s="831"/>
      <c r="M799" s="831"/>
      <c r="N799" s="831"/>
      <c r="O799" s="4"/>
      <c r="P799" s="4"/>
    </row>
    <row r="800" spans="1:16" ht="18.75">
      <c r="B800" s="355"/>
      <c r="C800" s="11" t="s">
        <v>291</v>
      </c>
      <c r="D800" s="67"/>
      <c r="E800" s="4"/>
      <c r="F800" s="4"/>
      <c r="G800" s="4"/>
      <c r="H800" s="831"/>
      <c r="I800" s="831"/>
      <c r="J800" s="832"/>
      <c r="K800" s="831"/>
      <c r="L800" s="831"/>
      <c r="M800" s="831"/>
      <c r="N800" s="831"/>
      <c r="O800" s="4"/>
      <c r="P800" s="4"/>
    </row>
    <row r="801" spans="1:16" ht="15.75" thickBot="1">
      <c r="C801" s="203"/>
      <c r="D801" s="67"/>
      <c r="E801" s="4"/>
      <c r="F801" s="4"/>
      <c r="G801" s="4"/>
      <c r="H801" s="831"/>
      <c r="I801" s="831"/>
      <c r="J801" s="832"/>
      <c r="K801" s="831"/>
      <c r="L801" s="831"/>
      <c r="M801" s="831"/>
      <c r="N801" s="831"/>
      <c r="O801" s="4"/>
      <c r="P801" s="4"/>
    </row>
    <row r="802" spans="1:16" ht="15.75">
      <c r="C802" s="356" t="s">
        <v>292</v>
      </c>
      <c r="D802" s="67"/>
      <c r="E802" s="4"/>
      <c r="F802" s="4"/>
      <c r="G802" s="833"/>
      <c r="H802" s="4" t="s">
        <v>271</v>
      </c>
      <c r="I802" s="4"/>
      <c r="J802" s="4"/>
      <c r="K802" s="416" t="s">
        <v>296</v>
      </c>
      <c r="L802" s="417"/>
      <c r="M802" s="418"/>
      <c r="N802" s="834">
        <f>VLOOKUP(I808,C815:O874,5)</f>
        <v>1128324.4089759258</v>
      </c>
      <c r="O802" s="4"/>
      <c r="P802" s="4"/>
    </row>
    <row r="803" spans="1:16" ht="15.75">
      <c r="C803" s="356"/>
      <c r="D803" s="67"/>
      <c r="E803" s="4"/>
      <c r="F803" s="4"/>
      <c r="G803" s="4"/>
      <c r="H803" s="835"/>
      <c r="I803" s="835"/>
      <c r="J803" s="836"/>
      <c r="K803" s="421" t="s">
        <v>297</v>
      </c>
      <c r="L803" s="837"/>
      <c r="M803" s="4"/>
      <c r="N803" s="838">
        <f>VLOOKUP(I808,C815:O874,6)</f>
        <v>1128324.4089759258</v>
      </c>
      <c r="O803" s="4"/>
      <c r="P803" s="4"/>
    </row>
    <row r="804" spans="1:16" ht="13.5" thickBot="1">
      <c r="C804" s="422" t="s">
        <v>293</v>
      </c>
      <c r="D804" s="1277" t="s">
        <v>939</v>
      </c>
      <c r="E804" s="1277"/>
      <c r="F804" s="1277"/>
      <c r="G804" s="1277"/>
      <c r="H804" s="1277"/>
      <c r="I804" s="831"/>
      <c r="J804" s="832"/>
      <c r="K804" s="839" t="s">
        <v>450</v>
      </c>
      <c r="L804" s="840"/>
      <c r="M804" s="840"/>
      <c r="N804" s="841">
        <f>+N803-N802</f>
        <v>0</v>
      </c>
      <c r="O804" s="4"/>
      <c r="P804" s="4"/>
    </row>
    <row r="805" spans="1:16">
      <c r="C805" s="424"/>
      <c r="D805" s="425"/>
      <c r="E805" s="412"/>
      <c r="F805" s="412"/>
      <c r="G805" s="426"/>
      <c r="H805" s="831"/>
      <c r="I805" s="831"/>
      <c r="J805" s="832"/>
      <c r="K805" s="831"/>
      <c r="L805" s="831"/>
      <c r="M805" s="831"/>
      <c r="N805" s="831"/>
      <c r="O805" s="4"/>
      <c r="P805" s="4"/>
    </row>
    <row r="806" spans="1:16" ht="13.5" thickBot="1">
      <c r="C806" s="424"/>
      <c r="D806" s="4"/>
      <c r="E806" s="426"/>
      <c r="F806" s="426"/>
      <c r="G806" s="426"/>
      <c r="H806" s="426"/>
      <c r="I806" s="426"/>
      <c r="J806" s="426"/>
      <c r="K806" s="426"/>
      <c r="L806" s="426"/>
      <c r="M806" s="426"/>
      <c r="N806" s="426"/>
      <c r="O806" s="4"/>
      <c r="P806" s="4"/>
    </row>
    <row r="807" spans="1:16" ht="13.5" thickBot="1">
      <c r="C807" s="427" t="s">
        <v>294</v>
      </c>
      <c r="D807" s="428"/>
      <c r="E807" s="428"/>
      <c r="F807" s="428"/>
      <c r="G807" s="428"/>
      <c r="H807" s="428"/>
      <c r="I807" s="429"/>
      <c r="K807" s="4"/>
      <c r="L807" s="4"/>
      <c r="M807" s="4"/>
      <c r="N807" s="4"/>
      <c r="O807" s="4"/>
      <c r="P807" s="4"/>
    </row>
    <row r="808" spans="1:16" ht="15">
      <c r="C808" s="430" t="s">
        <v>272</v>
      </c>
      <c r="D808" s="842">
        <v>10866838.83</v>
      </c>
      <c r="E808" s="4" t="s">
        <v>273</v>
      </c>
      <c r="G808" s="67"/>
      <c r="H808" s="67"/>
      <c r="I808" s="431">
        <f>$L$26</f>
        <v>2026</v>
      </c>
      <c r="J808" s="114"/>
      <c r="K808" s="1278" t="s">
        <v>459</v>
      </c>
      <c r="L808" s="1278"/>
      <c r="M808" s="1278"/>
      <c r="N808" s="1278"/>
      <c r="O808" s="1278"/>
      <c r="P808" s="4"/>
    </row>
    <row r="809" spans="1:16">
      <c r="C809" s="430" t="s">
        <v>275</v>
      </c>
      <c r="D809" s="561">
        <v>2014</v>
      </c>
      <c r="E809" s="430" t="s">
        <v>276</v>
      </c>
      <c r="F809" s="67"/>
      <c r="I809" s="564">
        <f>IF(G802="",0,$F$15)</f>
        <v>0</v>
      </c>
      <c r="J809" s="432"/>
      <c r="K809" s="832" t="s">
        <v>459</v>
      </c>
      <c r="P809" s="4"/>
    </row>
    <row r="810" spans="1:16">
      <c r="C810" s="430" t="s">
        <v>277</v>
      </c>
      <c r="D810" s="843">
        <v>9</v>
      </c>
      <c r="E810" s="430" t="s">
        <v>278</v>
      </c>
      <c r="F810" s="67"/>
      <c r="I810" s="433">
        <f>$G$70</f>
        <v>0.1119061905251431</v>
      </c>
      <c r="J810" s="394"/>
      <c r="K810" t="str">
        <f>"          INPUT PROJECTED ARR (WITH &amp; WITHOUT INCENTIVES) FROM EACH PRIOR YEAR"</f>
        <v xml:space="preserve">          INPUT PROJECTED ARR (WITH &amp; WITHOUT INCENTIVES) FROM EACH PRIOR YEAR</v>
      </c>
      <c r="P810" s="4"/>
    </row>
    <row r="811" spans="1:16">
      <c r="C811" s="430" t="s">
        <v>279</v>
      </c>
      <c r="D811" s="434">
        <f>G$79</f>
        <v>39</v>
      </c>
      <c r="E811" s="430" t="s">
        <v>280</v>
      </c>
      <c r="F811" s="67"/>
      <c r="I811" s="433">
        <f>IF(G802="",I810,$G$67)</f>
        <v>0.1119061905251431</v>
      </c>
      <c r="J811" s="394"/>
      <c r="K811" t="s">
        <v>357</v>
      </c>
      <c r="P811" s="4"/>
    </row>
    <row r="812" spans="1:16" ht="13.5" thickBot="1">
      <c r="C812" s="430" t="s">
        <v>281</v>
      </c>
      <c r="D812" s="563" t="s">
        <v>931</v>
      </c>
      <c r="E812" s="435" t="s">
        <v>282</v>
      </c>
      <c r="F812" s="436"/>
      <c r="G812" s="437"/>
      <c r="H812" s="437"/>
      <c r="I812" s="841">
        <f>IF(D808=0,0,D808/D811)</f>
        <v>278636.89307692309</v>
      </c>
      <c r="J812" s="832"/>
      <c r="K812" s="832" t="s">
        <v>363</v>
      </c>
      <c r="L812" s="832"/>
      <c r="M812" s="832"/>
      <c r="N812" s="832"/>
      <c r="O812" s="4"/>
      <c r="P812" s="4"/>
    </row>
    <row r="813" spans="1:16" ht="51">
      <c r="A813" s="322"/>
      <c r="B813" s="322"/>
      <c r="C813" s="438" t="s">
        <v>272</v>
      </c>
      <c r="D813" s="844" t="s">
        <v>283</v>
      </c>
      <c r="E813" s="845" t="s">
        <v>284</v>
      </c>
      <c r="F813" s="844" t="s">
        <v>285</v>
      </c>
      <c r="G813" s="845" t="s">
        <v>356</v>
      </c>
      <c r="H813" s="846" t="s">
        <v>356</v>
      </c>
      <c r="I813" s="438" t="s">
        <v>295</v>
      </c>
      <c r="J813" s="442"/>
      <c r="K813" s="845" t="s">
        <v>365</v>
      </c>
      <c r="L813" s="847"/>
      <c r="M813" s="845" t="s">
        <v>365</v>
      </c>
      <c r="N813" s="847"/>
      <c r="O813" s="847"/>
      <c r="P813" s="4"/>
    </row>
    <row r="814" spans="1:16" ht="13.5" thickBot="1">
      <c r="C814" s="444" t="s">
        <v>177</v>
      </c>
      <c r="D814" s="445" t="s">
        <v>178</v>
      </c>
      <c r="E814" s="444" t="s">
        <v>37</v>
      </c>
      <c r="F814" s="445" t="s">
        <v>178</v>
      </c>
      <c r="G814" s="848" t="s">
        <v>298</v>
      </c>
      <c r="H814" s="849" t="s">
        <v>300</v>
      </c>
      <c r="I814" s="444" t="s">
        <v>389</v>
      </c>
      <c r="J814" s="448"/>
      <c r="K814" s="848" t="s">
        <v>287</v>
      </c>
      <c r="L814" s="850"/>
      <c r="M814" s="848" t="s">
        <v>300</v>
      </c>
      <c r="N814" s="850"/>
      <c r="O814" s="850"/>
      <c r="P814" s="4"/>
    </row>
    <row r="815" spans="1:16">
      <c r="C815" s="449">
        <f>IF(D809= "","-",D809)</f>
        <v>2014</v>
      </c>
      <c r="D815" s="412">
        <f>+D808</f>
        <v>10866838.83</v>
      </c>
      <c r="E815" s="851">
        <f>+I812/12*(12-D810)</f>
        <v>69659.223269230773</v>
      </c>
      <c r="F815" s="412">
        <f t="shared" ref="F815:F874" si="53">+D815-E815</f>
        <v>10797179.606730768</v>
      </c>
      <c r="G815" s="852">
        <f>+$I$810*((D815+F815)/2)+E815</f>
        <v>1281828.1106297337</v>
      </c>
      <c r="H815" s="853">
        <f>+$I$811*((D815+F815)/2)+E815</f>
        <v>1281828.1106297337</v>
      </c>
      <c r="I815" s="453">
        <f t="shared" ref="I815:I874" si="54">+H815-G815</f>
        <v>0</v>
      </c>
      <c r="J815" s="453"/>
      <c r="K815" s="565">
        <v>0</v>
      </c>
      <c r="L815" s="455"/>
      <c r="M815" s="565">
        <v>0</v>
      </c>
      <c r="N815" s="455"/>
      <c r="O815" s="455"/>
      <c r="P815" s="4"/>
    </row>
    <row r="816" spans="1:16">
      <c r="C816" s="449">
        <f>IF(D809="","-",+C815+1)</f>
        <v>2015</v>
      </c>
      <c r="D816" s="412">
        <f t="shared" ref="D816:D874" si="55">F815</f>
        <v>10797179.606730768</v>
      </c>
      <c r="E816" s="456">
        <f>IF(D816&gt;$I$812,$I$812,D816)</f>
        <v>278636.89307692309</v>
      </c>
      <c r="F816" s="412">
        <f t="shared" si="53"/>
        <v>10518542.713653846</v>
      </c>
      <c r="G816" s="851">
        <f t="shared" ref="G816:G874" si="56">+$I$810*((D816+F816)/2)+E816</f>
        <v>1471317.5346599258</v>
      </c>
      <c r="H816" s="854">
        <f t="shared" ref="H816:H874" si="57">+$I$811*((D816+F816)/2)+E816</f>
        <v>1471317.5346599258</v>
      </c>
      <c r="I816" s="453">
        <f t="shared" si="54"/>
        <v>0</v>
      </c>
      <c r="J816" s="453"/>
      <c r="K816" s="566">
        <v>0</v>
      </c>
      <c r="L816" s="459"/>
      <c r="M816" s="566">
        <v>0</v>
      </c>
      <c r="N816" s="459"/>
      <c r="O816" s="459"/>
      <c r="P816" s="4"/>
    </row>
    <row r="817" spans="3:16">
      <c r="C817" s="449">
        <f>IF(D809="","-",+C816+1)</f>
        <v>2016</v>
      </c>
      <c r="D817" s="412">
        <f t="shared" si="55"/>
        <v>10518542.713653846</v>
      </c>
      <c r="E817" s="456">
        <f t="shared" ref="E817:E874" si="58">IF(D817&gt;$I$812,$I$812,D817)</f>
        <v>278636.89307692309</v>
      </c>
      <c r="F817" s="412">
        <f t="shared" si="53"/>
        <v>10239905.820576923</v>
      </c>
      <c r="G817" s="851">
        <f t="shared" si="56"/>
        <v>1440136.3414159259</v>
      </c>
      <c r="H817" s="854">
        <f t="shared" si="57"/>
        <v>1440136.3414159259</v>
      </c>
      <c r="I817" s="453">
        <f t="shared" si="54"/>
        <v>0</v>
      </c>
      <c r="J817" s="453"/>
      <c r="K817" s="566">
        <v>1117</v>
      </c>
      <c r="L817" s="864"/>
      <c r="M817" s="566">
        <v>1117</v>
      </c>
      <c r="N817" s="459"/>
      <c r="O817" s="459"/>
      <c r="P817" s="4"/>
    </row>
    <row r="818" spans="3:16">
      <c r="C818" s="449">
        <f>IF(D809="","-",+C817+1)</f>
        <v>2017</v>
      </c>
      <c r="D818" s="412">
        <f t="shared" si="55"/>
        <v>10239905.820576923</v>
      </c>
      <c r="E818" s="456">
        <f t="shared" si="58"/>
        <v>278636.89307692309</v>
      </c>
      <c r="F818" s="412">
        <f t="shared" si="53"/>
        <v>9961268.9275000002</v>
      </c>
      <c r="G818" s="851">
        <f t="shared" si="56"/>
        <v>1408955.1481719259</v>
      </c>
      <c r="H818" s="854">
        <f t="shared" si="57"/>
        <v>1408955.1481719259</v>
      </c>
      <c r="I818" s="453">
        <f t="shared" si="54"/>
        <v>0</v>
      </c>
      <c r="J818" s="453"/>
      <c r="K818" s="566">
        <v>57580</v>
      </c>
      <c r="L818" s="459"/>
      <c r="M818" s="566">
        <v>57580</v>
      </c>
      <c r="N818" s="459"/>
      <c r="O818" s="459"/>
      <c r="P818" s="4"/>
    </row>
    <row r="819" spans="3:16">
      <c r="C819" s="878">
        <f>IF(D809="","-",+C818+1)</f>
        <v>2018</v>
      </c>
      <c r="D819" s="856">
        <f t="shared" si="55"/>
        <v>9961268.9275000002</v>
      </c>
      <c r="E819" s="857">
        <f t="shared" si="58"/>
        <v>278636.89307692309</v>
      </c>
      <c r="F819" s="856">
        <f t="shared" si="53"/>
        <v>9682632.0344230775</v>
      </c>
      <c r="G819" s="858">
        <f t="shared" si="56"/>
        <v>1377773.954927926</v>
      </c>
      <c r="H819" s="859">
        <f t="shared" si="57"/>
        <v>1377773.954927926</v>
      </c>
      <c r="I819" s="865">
        <f t="shared" si="54"/>
        <v>0</v>
      </c>
      <c r="J819" s="453"/>
      <c r="K819" s="566">
        <v>54331</v>
      </c>
      <c r="L819" s="459"/>
      <c r="M819" s="566">
        <v>54331</v>
      </c>
      <c r="N819" s="459"/>
      <c r="O819" s="459"/>
      <c r="P819" s="4"/>
    </row>
    <row r="820" spans="3:16">
      <c r="C820" s="449">
        <f>IF(D811="","-",+C819+1)</f>
        <v>2019</v>
      </c>
      <c r="D820" s="412">
        <f t="shared" si="55"/>
        <v>9682632.0344230775</v>
      </c>
      <c r="E820" s="456">
        <f t="shared" si="58"/>
        <v>278636.89307692309</v>
      </c>
      <c r="F820" s="412">
        <f t="shared" si="53"/>
        <v>9403995.1413461547</v>
      </c>
      <c r="G820" s="851">
        <f t="shared" si="56"/>
        <v>1346592.761683926</v>
      </c>
      <c r="H820" s="854">
        <f t="shared" si="57"/>
        <v>1346592.761683926</v>
      </c>
      <c r="I820" s="453">
        <f t="shared" si="54"/>
        <v>0</v>
      </c>
      <c r="J820" s="453"/>
      <c r="K820" s="566">
        <v>52092</v>
      </c>
      <c r="L820" s="459"/>
      <c r="M820" s="566">
        <v>52092</v>
      </c>
      <c r="N820" s="459"/>
      <c r="O820" s="459"/>
      <c r="P820" s="4"/>
    </row>
    <row r="821" spans="3:16">
      <c r="C821" s="449">
        <f>IF(D811="","-",+C820+1)</f>
        <v>2020</v>
      </c>
      <c r="D821" s="412">
        <f t="shared" si="55"/>
        <v>9403995.1413461547</v>
      </c>
      <c r="E821" s="456">
        <f t="shared" si="58"/>
        <v>278636.89307692309</v>
      </c>
      <c r="F821" s="412">
        <f t="shared" si="53"/>
        <v>9125358.248269232</v>
      </c>
      <c r="G821" s="851">
        <f t="shared" si="56"/>
        <v>1315411.568439926</v>
      </c>
      <c r="H821" s="854">
        <f t="shared" si="57"/>
        <v>1315411.568439926</v>
      </c>
      <c r="I821" s="453">
        <f t="shared" si="54"/>
        <v>0</v>
      </c>
      <c r="J821" s="453"/>
      <c r="K821" s="566">
        <v>82533.189311498267</v>
      </c>
      <c r="L821" s="459"/>
      <c r="M821" s="566">
        <v>82533.189311498267</v>
      </c>
      <c r="N821" s="459"/>
      <c r="O821" s="459"/>
      <c r="P821" s="4"/>
    </row>
    <row r="822" spans="3:16">
      <c r="C822" s="449">
        <f>IF(D809="","-",+C821+1)</f>
        <v>2021</v>
      </c>
      <c r="D822" s="412">
        <f t="shared" si="55"/>
        <v>9125358.248269232</v>
      </c>
      <c r="E822" s="456">
        <f t="shared" si="58"/>
        <v>278636.89307692309</v>
      </c>
      <c r="F822" s="412">
        <f t="shared" si="53"/>
        <v>8846721.3551923092</v>
      </c>
      <c r="G822" s="851">
        <f t="shared" si="56"/>
        <v>1284230.3751959258</v>
      </c>
      <c r="H822" s="854">
        <f t="shared" si="57"/>
        <v>1284230.3751959258</v>
      </c>
      <c r="I822" s="453">
        <f t="shared" si="54"/>
        <v>0</v>
      </c>
      <c r="J822" s="453"/>
      <c r="K822" s="566">
        <v>715550.06057471025</v>
      </c>
      <c r="L822" s="459"/>
      <c r="M822" s="566">
        <v>715550.06057471025</v>
      </c>
      <c r="N822" s="459"/>
      <c r="O822" s="459"/>
      <c r="P822" s="4"/>
    </row>
    <row r="823" spans="3:16">
      <c r="C823" s="449">
        <f>IF(D814="","-",+C822+1)</f>
        <v>2022</v>
      </c>
      <c r="D823" s="412">
        <f t="shared" si="55"/>
        <v>8846721.3551923092</v>
      </c>
      <c r="E823" s="456">
        <f t="shared" si="58"/>
        <v>278636.89307692309</v>
      </c>
      <c r="F823" s="412">
        <f t="shared" si="53"/>
        <v>8568084.4621153865</v>
      </c>
      <c r="G823" s="851">
        <f t="shared" si="56"/>
        <v>1253049.1819519256</v>
      </c>
      <c r="H823" s="854">
        <f t="shared" si="57"/>
        <v>1253049.1819519256</v>
      </c>
      <c r="I823" s="453">
        <f t="shared" si="54"/>
        <v>0</v>
      </c>
      <c r="J823" s="453"/>
      <c r="K823" s="566">
        <v>747962.9522512171</v>
      </c>
      <c r="L823" s="459"/>
      <c r="M823" s="566">
        <v>747962.9522512171</v>
      </c>
      <c r="N823" s="459"/>
      <c r="O823" s="459"/>
      <c r="P823" s="4"/>
    </row>
    <row r="824" spans="3:16">
      <c r="C824" s="449">
        <f>IF(D814="","-",+C823+1)</f>
        <v>2023</v>
      </c>
      <c r="D824" s="412">
        <f t="shared" si="55"/>
        <v>8568084.4621153865</v>
      </c>
      <c r="E824" s="456">
        <f t="shared" si="58"/>
        <v>278636.89307692309</v>
      </c>
      <c r="F824" s="412">
        <f t="shared" si="53"/>
        <v>8289447.5690384638</v>
      </c>
      <c r="G824" s="851">
        <f t="shared" si="56"/>
        <v>1221867.9887079257</v>
      </c>
      <c r="H824" s="854">
        <f t="shared" si="57"/>
        <v>1221867.9887079257</v>
      </c>
      <c r="I824" s="453">
        <f t="shared" si="54"/>
        <v>0</v>
      </c>
      <c r="J824" s="453"/>
      <c r="K824" s="566">
        <v>780743.77307412028</v>
      </c>
      <c r="L824" s="459"/>
      <c r="M824" s="566">
        <v>780743.77307412028</v>
      </c>
      <c r="N824" s="459"/>
      <c r="O824" s="459"/>
      <c r="P824" s="4"/>
    </row>
    <row r="825" spans="3:16">
      <c r="C825" s="449">
        <f>IF(D809="","-",+C824+1)</f>
        <v>2024</v>
      </c>
      <c r="D825" s="412">
        <f t="shared" si="55"/>
        <v>8289447.5690384638</v>
      </c>
      <c r="E825" s="456">
        <f t="shared" si="58"/>
        <v>278636.89307692309</v>
      </c>
      <c r="F825" s="412">
        <f t="shared" si="53"/>
        <v>8010810.675961541</v>
      </c>
      <c r="G825" s="851">
        <f t="shared" si="56"/>
        <v>1190686.7954639257</v>
      </c>
      <c r="H825" s="854">
        <f t="shared" si="57"/>
        <v>1190686.7954639257</v>
      </c>
      <c r="I825" s="453">
        <f t="shared" si="54"/>
        <v>0</v>
      </c>
      <c r="J825" s="453"/>
      <c r="K825" s="566">
        <v>1176798.8147574321</v>
      </c>
      <c r="L825" s="459"/>
      <c r="M825" s="566">
        <v>1176798.8147574321</v>
      </c>
      <c r="N825" s="459"/>
      <c r="O825" s="459"/>
      <c r="P825" s="4"/>
    </row>
    <row r="826" spans="3:16">
      <c r="C826" s="449">
        <f>IF(D809="","-",+C825+1)</f>
        <v>2025</v>
      </c>
      <c r="D826" s="412">
        <f t="shared" si="55"/>
        <v>8010810.675961541</v>
      </c>
      <c r="E826" s="456">
        <f t="shared" si="58"/>
        <v>278636.89307692309</v>
      </c>
      <c r="F826" s="412">
        <f t="shared" si="53"/>
        <v>7732173.7828846183</v>
      </c>
      <c r="G826" s="851">
        <f t="shared" si="56"/>
        <v>1159505.6022199257</v>
      </c>
      <c r="H826" s="854">
        <f t="shared" si="57"/>
        <v>1159505.6022199257</v>
      </c>
      <c r="I826" s="453">
        <f t="shared" si="54"/>
        <v>0</v>
      </c>
      <c r="J826" s="453"/>
      <c r="K826" s="566">
        <v>1151464.1654140486</v>
      </c>
      <c r="L826" s="459"/>
      <c r="M826" s="566">
        <v>1151464.1654140486</v>
      </c>
      <c r="N826" s="459"/>
      <c r="O826" s="459"/>
      <c r="P826" s="4"/>
    </row>
    <row r="827" spans="3:16">
      <c r="C827" s="855">
        <f>IF(D809="","-",+C826+1)</f>
        <v>2026</v>
      </c>
      <c r="D827" s="412">
        <f t="shared" si="55"/>
        <v>7732173.7828846183</v>
      </c>
      <c r="E827" s="456">
        <f t="shared" si="58"/>
        <v>278636.89307692309</v>
      </c>
      <c r="F827" s="412">
        <f t="shared" si="53"/>
        <v>7453536.8898076955</v>
      </c>
      <c r="G827" s="851">
        <f t="shared" si="56"/>
        <v>1128324.4089759258</v>
      </c>
      <c r="H827" s="854">
        <f t="shared" si="57"/>
        <v>1128324.4089759258</v>
      </c>
      <c r="I827" s="453">
        <f t="shared" si="54"/>
        <v>0</v>
      </c>
      <c r="J827" s="453"/>
      <c r="K827" s="566"/>
      <c r="L827" s="459"/>
      <c r="M827" s="566"/>
      <c r="N827" s="460"/>
      <c r="O827" s="459"/>
      <c r="P827" s="4"/>
    </row>
    <row r="828" spans="3:16">
      <c r="C828" s="449">
        <f>IF(D809="","-",+C827+1)</f>
        <v>2027</v>
      </c>
      <c r="D828" s="412">
        <f t="shared" si="55"/>
        <v>7453536.8898076955</v>
      </c>
      <c r="E828" s="456">
        <f t="shared" si="58"/>
        <v>278636.89307692309</v>
      </c>
      <c r="F828" s="412">
        <f t="shared" si="53"/>
        <v>7174899.9967307728</v>
      </c>
      <c r="G828" s="851">
        <f t="shared" si="56"/>
        <v>1097143.2157319256</v>
      </c>
      <c r="H828" s="854">
        <f t="shared" si="57"/>
        <v>1097143.2157319256</v>
      </c>
      <c r="I828" s="453">
        <f t="shared" si="54"/>
        <v>0</v>
      </c>
      <c r="J828" s="453"/>
      <c r="K828" s="566"/>
      <c r="L828" s="459"/>
      <c r="M828" s="566"/>
      <c r="N828" s="459"/>
      <c r="O828" s="459"/>
      <c r="P828" s="4"/>
    </row>
    <row r="829" spans="3:16">
      <c r="C829" s="449">
        <f>IF(D809="","-",+C828+1)</f>
        <v>2028</v>
      </c>
      <c r="D829" s="412">
        <f t="shared" si="55"/>
        <v>7174899.9967307728</v>
      </c>
      <c r="E829" s="456">
        <f t="shared" si="58"/>
        <v>278636.89307692309</v>
      </c>
      <c r="F829" s="412">
        <f t="shared" si="53"/>
        <v>6896263.10365385</v>
      </c>
      <c r="G829" s="851">
        <f t="shared" si="56"/>
        <v>1065962.0224879254</v>
      </c>
      <c r="H829" s="854">
        <f t="shared" si="57"/>
        <v>1065962.0224879254</v>
      </c>
      <c r="I829" s="453">
        <f t="shared" si="54"/>
        <v>0</v>
      </c>
      <c r="J829" s="453"/>
      <c r="K829" s="566"/>
      <c r="L829" s="459"/>
      <c r="M829" s="566"/>
      <c r="N829" s="459"/>
      <c r="O829" s="459"/>
      <c r="P829" s="4"/>
    </row>
    <row r="830" spans="3:16">
      <c r="C830" s="449">
        <f>IF(D809="","-",+C829+1)</f>
        <v>2029</v>
      </c>
      <c r="D830" s="412">
        <f t="shared" si="55"/>
        <v>6896263.10365385</v>
      </c>
      <c r="E830" s="456">
        <f t="shared" si="58"/>
        <v>278636.89307692309</v>
      </c>
      <c r="F830" s="412">
        <f t="shared" si="53"/>
        <v>6617626.2105769273</v>
      </c>
      <c r="G830" s="851">
        <f t="shared" si="56"/>
        <v>1034780.8292439255</v>
      </c>
      <c r="H830" s="854">
        <f t="shared" si="57"/>
        <v>1034780.8292439255</v>
      </c>
      <c r="I830" s="453">
        <f t="shared" si="54"/>
        <v>0</v>
      </c>
      <c r="J830" s="453"/>
      <c r="K830" s="566"/>
      <c r="L830" s="459"/>
      <c r="M830" s="566"/>
      <c r="N830" s="459"/>
      <c r="O830" s="459"/>
      <c r="P830" s="4"/>
    </row>
    <row r="831" spans="3:16">
      <c r="C831" s="449">
        <f>IF(D809="","-",+C830+1)</f>
        <v>2030</v>
      </c>
      <c r="D831" s="412">
        <f t="shared" si="55"/>
        <v>6617626.2105769273</v>
      </c>
      <c r="E831" s="456">
        <f t="shared" si="58"/>
        <v>278636.89307692309</v>
      </c>
      <c r="F831" s="412">
        <f t="shared" si="53"/>
        <v>6338989.3175000045</v>
      </c>
      <c r="G831" s="851">
        <f t="shared" si="56"/>
        <v>1003599.6359999254</v>
      </c>
      <c r="H831" s="854">
        <f t="shared" si="57"/>
        <v>1003599.6359999254</v>
      </c>
      <c r="I831" s="453">
        <f t="shared" si="54"/>
        <v>0</v>
      </c>
      <c r="J831" s="453"/>
      <c r="K831" s="566"/>
      <c r="L831" s="459"/>
      <c r="M831" s="566"/>
      <c r="N831" s="459"/>
      <c r="O831" s="459"/>
      <c r="P831" s="4"/>
    </row>
    <row r="832" spans="3:16">
      <c r="C832" s="449">
        <f>IF(D809="","-",+C831+1)</f>
        <v>2031</v>
      </c>
      <c r="D832" s="412">
        <f t="shared" si="55"/>
        <v>6338989.3175000045</v>
      </c>
      <c r="E832" s="456">
        <f t="shared" si="58"/>
        <v>278636.89307692309</v>
      </c>
      <c r="F832" s="412">
        <f t="shared" si="53"/>
        <v>6060352.4244230818</v>
      </c>
      <c r="G832" s="851">
        <f t="shared" si="56"/>
        <v>972418.44275592535</v>
      </c>
      <c r="H832" s="854">
        <f t="shared" si="57"/>
        <v>972418.44275592535</v>
      </c>
      <c r="I832" s="453">
        <f t="shared" si="54"/>
        <v>0</v>
      </c>
      <c r="J832" s="453"/>
      <c r="K832" s="566"/>
      <c r="L832" s="459"/>
      <c r="M832" s="566"/>
      <c r="N832" s="459"/>
      <c r="O832" s="459"/>
      <c r="P832" s="4"/>
    </row>
    <row r="833" spans="3:16">
      <c r="C833" s="449">
        <f>IF(D809="","-",+C832+1)</f>
        <v>2032</v>
      </c>
      <c r="D833" s="412">
        <f t="shared" si="55"/>
        <v>6060352.4244230818</v>
      </c>
      <c r="E833" s="456">
        <f t="shared" si="58"/>
        <v>278636.89307692309</v>
      </c>
      <c r="F833" s="412">
        <f t="shared" si="53"/>
        <v>5781715.5313461591</v>
      </c>
      <c r="G833" s="851">
        <f t="shared" si="56"/>
        <v>941237.24951192539</v>
      </c>
      <c r="H833" s="854">
        <f t="shared" si="57"/>
        <v>941237.24951192539</v>
      </c>
      <c r="I833" s="453">
        <f t="shared" si="54"/>
        <v>0</v>
      </c>
      <c r="J833" s="453"/>
      <c r="K833" s="566"/>
      <c r="L833" s="459"/>
      <c r="M833" s="566"/>
      <c r="N833" s="459"/>
      <c r="O833" s="459"/>
      <c r="P833" s="4"/>
    </row>
    <row r="834" spans="3:16">
      <c r="C834" s="449">
        <f>IF(D809="","-",+C833+1)</f>
        <v>2033</v>
      </c>
      <c r="D834" s="412">
        <f t="shared" si="55"/>
        <v>5781715.5313461591</v>
      </c>
      <c r="E834" s="456">
        <f t="shared" si="58"/>
        <v>278636.89307692309</v>
      </c>
      <c r="F834" s="412">
        <f t="shared" si="53"/>
        <v>5503078.6382692363</v>
      </c>
      <c r="G834" s="851">
        <f t="shared" si="56"/>
        <v>910056.05626792531</v>
      </c>
      <c r="H834" s="854">
        <f t="shared" si="57"/>
        <v>910056.05626792531</v>
      </c>
      <c r="I834" s="453">
        <f t="shared" si="54"/>
        <v>0</v>
      </c>
      <c r="J834" s="453"/>
      <c r="K834" s="566"/>
      <c r="L834" s="459"/>
      <c r="M834" s="566"/>
      <c r="N834" s="459"/>
      <c r="O834" s="459"/>
      <c r="P834" s="4"/>
    </row>
    <row r="835" spans="3:16">
      <c r="C835" s="449">
        <f>IF(D809="","-",+C834+1)</f>
        <v>2034</v>
      </c>
      <c r="D835" s="412">
        <f t="shared" si="55"/>
        <v>5503078.6382692363</v>
      </c>
      <c r="E835" s="456">
        <f t="shared" si="58"/>
        <v>278636.89307692309</v>
      </c>
      <c r="F835" s="412">
        <f t="shared" si="53"/>
        <v>5224441.7451923136</v>
      </c>
      <c r="G835" s="851">
        <f t="shared" si="56"/>
        <v>878874.86302392522</v>
      </c>
      <c r="H835" s="854">
        <f t="shared" si="57"/>
        <v>878874.86302392522</v>
      </c>
      <c r="I835" s="453">
        <f t="shared" si="54"/>
        <v>0</v>
      </c>
      <c r="J835" s="453"/>
      <c r="K835" s="566"/>
      <c r="L835" s="459"/>
      <c r="M835" s="566"/>
      <c r="N835" s="459"/>
      <c r="O835" s="459"/>
      <c r="P835" s="4"/>
    </row>
    <row r="836" spans="3:16">
      <c r="C836" s="449">
        <f>IF(D809="","-",+C835+1)</f>
        <v>2035</v>
      </c>
      <c r="D836" s="412">
        <f t="shared" si="55"/>
        <v>5224441.7451923136</v>
      </c>
      <c r="E836" s="456">
        <f t="shared" si="58"/>
        <v>278636.89307692309</v>
      </c>
      <c r="F836" s="412">
        <f t="shared" si="53"/>
        <v>4945804.8521153908</v>
      </c>
      <c r="G836" s="851">
        <f t="shared" si="56"/>
        <v>847693.66977992526</v>
      </c>
      <c r="H836" s="854">
        <f t="shared" si="57"/>
        <v>847693.66977992526</v>
      </c>
      <c r="I836" s="453">
        <f t="shared" si="54"/>
        <v>0</v>
      </c>
      <c r="J836" s="453"/>
      <c r="K836" s="566"/>
      <c r="L836" s="459"/>
      <c r="M836" s="566"/>
      <c r="N836" s="459"/>
      <c r="O836" s="459"/>
      <c r="P836" s="4"/>
    </row>
    <row r="837" spans="3:16">
      <c r="C837" s="449">
        <f>IF(D809="","-",+C836+1)</f>
        <v>2036</v>
      </c>
      <c r="D837" s="412">
        <f t="shared" si="55"/>
        <v>4945804.8521153908</v>
      </c>
      <c r="E837" s="456">
        <f t="shared" si="58"/>
        <v>278636.89307692309</v>
      </c>
      <c r="F837" s="412">
        <f t="shared" si="53"/>
        <v>4667167.9590384681</v>
      </c>
      <c r="G837" s="851">
        <f t="shared" si="56"/>
        <v>816512.47653592518</v>
      </c>
      <c r="H837" s="854">
        <f t="shared" si="57"/>
        <v>816512.47653592518</v>
      </c>
      <c r="I837" s="453">
        <f t="shared" si="54"/>
        <v>0</v>
      </c>
      <c r="J837" s="453"/>
      <c r="K837" s="566"/>
      <c r="L837" s="459"/>
      <c r="M837" s="566"/>
      <c r="N837" s="459"/>
      <c r="O837" s="459"/>
      <c r="P837" s="4"/>
    </row>
    <row r="838" spans="3:16">
      <c r="C838" s="449">
        <f>IF(D809="","-",+C837+1)</f>
        <v>2037</v>
      </c>
      <c r="D838" s="412">
        <f t="shared" si="55"/>
        <v>4667167.9590384681</v>
      </c>
      <c r="E838" s="456">
        <f t="shared" si="58"/>
        <v>278636.89307692309</v>
      </c>
      <c r="F838" s="412">
        <f t="shared" si="53"/>
        <v>4388531.0659615453</v>
      </c>
      <c r="G838" s="851">
        <f t="shared" si="56"/>
        <v>785331.28329192521</v>
      </c>
      <c r="H838" s="854">
        <f t="shared" si="57"/>
        <v>785331.28329192521</v>
      </c>
      <c r="I838" s="453">
        <f t="shared" si="54"/>
        <v>0</v>
      </c>
      <c r="J838" s="453"/>
      <c r="K838" s="566"/>
      <c r="L838" s="459"/>
      <c r="M838" s="566"/>
      <c r="N838" s="459"/>
      <c r="O838" s="459"/>
      <c r="P838" s="4"/>
    </row>
    <row r="839" spans="3:16">
      <c r="C839" s="449">
        <f>IF(D809="","-",+C838+1)</f>
        <v>2038</v>
      </c>
      <c r="D839" s="412">
        <f t="shared" si="55"/>
        <v>4388531.0659615453</v>
      </c>
      <c r="E839" s="456">
        <f t="shared" si="58"/>
        <v>278636.89307692309</v>
      </c>
      <c r="F839" s="412">
        <f t="shared" si="53"/>
        <v>4109894.1728846221</v>
      </c>
      <c r="G839" s="851">
        <f t="shared" si="56"/>
        <v>754150.09004792501</v>
      </c>
      <c r="H839" s="854">
        <f t="shared" si="57"/>
        <v>754150.09004792501</v>
      </c>
      <c r="I839" s="453">
        <f t="shared" si="54"/>
        <v>0</v>
      </c>
      <c r="J839" s="453"/>
      <c r="K839" s="566"/>
      <c r="L839" s="459"/>
      <c r="M839" s="566"/>
      <c r="N839" s="459"/>
      <c r="O839" s="459"/>
      <c r="P839" s="4"/>
    </row>
    <row r="840" spans="3:16">
      <c r="C840" s="449">
        <f>IF(D809="","-",+C839+1)</f>
        <v>2039</v>
      </c>
      <c r="D840" s="412">
        <f t="shared" si="55"/>
        <v>4109894.1728846221</v>
      </c>
      <c r="E840" s="456">
        <f t="shared" si="58"/>
        <v>278636.89307692309</v>
      </c>
      <c r="F840" s="412">
        <f t="shared" si="53"/>
        <v>3831257.2798076989</v>
      </c>
      <c r="G840" s="851">
        <f t="shared" si="56"/>
        <v>722968.89680392493</v>
      </c>
      <c r="H840" s="854">
        <f t="shared" si="57"/>
        <v>722968.89680392493</v>
      </c>
      <c r="I840" s="453">
        <f t="shared" si="54"/>
        <v>0</v>
      </c>
      <c r="J840" s="453"/>
      <c r="K840" s="566"/>
      <c r="L840" s="459"/>
      <c r="M840" s="566"/>
      <c r="N840" s="459"/>
      <c r="O840" s="459"/>
      <c r="P840" s="4"/>
    </row>
    <row r="841" spans="3:16">
      <c r="C841" s="449">
        <f>IF(D809="","-",+C840+1)</f>
        <v>2040</v>
      </c>
      <c r="D841" s="412">
        <f t="shared" si="55"/>
        <v>3831257.2798076989</v>
      </c>
      <c r="E841" s="456">
        <f t="shared" si="58"/>
        <v>278636.89307692309</v>
      </c>
      <c r="F841" s="412">
        <f t="shared" si="53"/>
        <v>3552620.3867307757</v>
      </c>
      <c r="G841" s="851">
        <f t="shared" si="56"/>
        <v>691787.70355992485</v>
      </c>
      <c r="H841" s="854">
        <f t="shared" si="57"/>
        <v>691787.70355992485</v>
      </c>
      <c r="I841" s="453">
        <f t="shared" si="54"/>
        <v>0</v>
      </c>
      <c r="J841" s="453"/>
      <c r="K841" s="566"/>
      <c r="L841" s="459"/>
      <c r="M841" s="566"/>
      <c r="N841" s="459"/>
      <c r="O841" s="459"/>
      <c r="P841" s="4"/>
    </row>
    <row r="842" spans="3:16">
      <c r="C842" s="449">
        <f>IF(D809="","-",+C841+1)</f>
        <v>2041</v>
      </c>
      <c r="D842" s="412">
        <f t="shared" si="55"/>
        <v>3552620.3867307757</v>
      </c>
      <c r="E842" s="456">
        <f t="shared" si="58"/>
        <v>278636.89307692309</v>
      </c>
      <c r="F842" s="412">
        <f t="shared" si="53"/>
        <v>3273983.4936538525</v>
      </c>
      <c r="G842" s="851">
        <f t="shared" si="56"/>
        <v>660606.51031592477</v>
      </c>
      <c r="H842" s="854">
        <f t="shared" si="57"/>
        <v>660606.51031592477</v>
      </c>
      <c r="I842" s="453">
        <f t="shared" si="54"/>
        <v>0</v>
      </c>
      <c r="J842" s="453"/>
      <c r="K842" s="566"/>
      <c r="L842" s="459"/>
      <c r="M842" s="566"/>
      <c r="N842" s="459"/>
      <c r="O842" s="459"/>
      <c r="P842" s="4"/>
    </row>
    <row r="843" spans="3:16">
      <c r="C843" s="449">
        <f>IF(D809="","-",+C842+1)</f>
        <v>2042</v>
      </c>
      <c r="D843" s="412">
        <f t="shared" si="55"/>
        <v>3273983.4936538525</v>
      </c>
      <c r="E843" s="456">
        <f t="shared" si="58"/>
        <v>278636.89307692309</v>
      </c>
      <c r="F843" s="412">
        <f t="shared" si="53"/>
        <v>2995346.6005769293</v>
      </c>
      <c r="G843" s="860">
        <f t="shared" si="56"/>
        <v>629425.31707192468</v>
      </c>
      <c r="H843" s="854">
        <f t="shared" si="57"/>
        <v>629425.31707192468</v>
      </c>
      <c r="I843" s="453">
        <f t="shared" si="54"/>
        <v>0</v>
      </c>
      <c r="J843" s="453"/>
      <c r="K843" s="566"/>
      <c r="L843" s="459"/>
      <c r="M843" s="566"/>
      <c r="N843" s="459"/>
      <c r="O843" s="459"/>
      <c r="P843" s="4"/>
    </row>
    <row r="844" spans="3:16">
      <c r="C844" s="449">
        <f>IF(D809="","-",+C843+1)</f>
        <v>2043</v>
      </c>
      <c r="D844" s="412">
        <f t="shared" si="55"/>
        <v>2995346.6005769293</v>
      </c>
      <c r="E844" s="456">
        <f t="shared" si="58"/>
        <v>278636.89307692309</v>
      </c>
      <c r="F844" s="412">
        <f t="shared" si="53"/>
        <v>2716709.7075000061</v>
      </c>
      <c r="G844" s="851">
        <f t="shared" si="56"/>
        <v>598244.12382792449</v>
      </c>
      <c r="H844" s="854">
        <f t="shared" si="57"/>
        <v>598244.12382792449</v>
      </c>
      <c r="I844" s="453">
        <f t="shared" si="54"/>
        <v>0</v>
      </c>
      <c r="J844" s="453"/>
      <c r="K844" s="566"/>
      <c r="L844" s="459"/>
      <c r="M844" s="566"/>
      <c r="N844" s="459"/>
      <c r="O844" s="459"/>
      <c r="P844" s="4"/>
    </row>
    <row r="845" spans="3:16">
      <c r="C845" s="449">
        <f>IF(D809="","-",+C844+1)</f>
        <v>2044</v>
      </c>
      <c r="D845" s="412">
        <f t="shared" si="55"/>
        <v>2716709.7075000061</v>
      </c>
      <c r="E845" s="456">
        <f t="shared" si="58"/>
        <v>278636.89307692309</v>
      </c>
      <c r="F845" s="412">
        <f t="shared" si="53"/>
        <v>2438072.8144230829</v>
      </c>
      <c r="G845" s="851">
        <f t="shared" si="56"/>
        <v>567062.93058392452</v>
      </c>
      <c r="H845" s="854">
        <f t="shared" si="57"/>
        <v>567062.93058392452</v>
      </c>
      <c r="I845" s="453">
        <f t="shared" si="54"/>
        <v>0</v>
      </c>
      <c r="J845" s="453"/>
      <c r="K845" s="566"/>
      <c r="L845" s="459"/>
      <c r="M845" s="566"/>
      <c r="N845" s="459"/>
      <c r="O845" s="459"/>
      <c r="P845" s="4"/>
    </row>
    <row r="846" spans="3:16">
      <c r="C846" s="449">
        <f>IF(D809="","-",+C845+1)</f>
        <v>2045</v>
      </c>
      <c r="D846" s="412">
        <f t="shared" si="55"/>
        <v>2438072.8144230829</v>
      </c>
      <c r="E846" s="456">
        <f t="shared" si="58"/>
        <v>278636.89307692309</v>
      </c>
      <c r="F846" s="412">
        <f t="shared" si="53"/>
        <v>2159435.9213461597</v>
      </c>
      <c r="G846" s="851">
        <f t="shared" si="56"/>
        <v>535881.73733992432</v>
      </c>
      <c r="H846" s="854">
        <f t="shared" si="57"/>
        <v>535881.73733992432</v>
      </c>
      <c r="I846" s="453">
        <f t="shared" si="54"/>
        <v>0</v>
      </c>
      <c r="J846" s="453"/>
      <c r="K846" s="566"/>
      <c r="L846" s="459"/>
      <c r="M846" s="566"/>
      <c r="N846" s="459"/>
      <c r="O846" s="459"/>
      <c r="P846" s="4"/>
    </row>
    <row r="847" spans="3:16">
      <c r="C847" s="449">
        <f>IF(D809="","-",+C846+1)</f>
        <v>2046</v>
      </c>
      <c r="D847" s="412">
        <f t="shared" si="55"/>
        <v>2159435.9213461597</v>
      </c>
      <c r="E847" s="456">
        <f t="shared" si="58"/>
        <v>278636.89307692309</v>
      </c>
      <c r="F847" s="412">
        <f t="shared" si="53"/>
        <v>1880799.0282692364</v>
      </c>
      <c r="G847" s="851">
        <f t="shared" si="56"/>
        <v>504700.54409592436</v>
      </c>
      <c r="H847" s="854">
        <f t="shared" si="57"/>
        <v>504700.54409592436</v>
      </c>
      <c r="I847" s="453">
        <f t="shared" si="54"/>
        <v>0</v>
      </c>
      <c r="J847" s="453"/>
      <c r="K847" s="566"/>
      <c r="L847" s="459"/>
      <c r="M847" s="566"/>
      <c r="N847" s="459"/>
      <c r="O847" s="459"/>
      <c r="P847" s="4"/>
    </row>
    <row r="848" spans="3:16">
      <c r="C848" s="449">
        <f>IF(D809="","-",+C847+1)</f>
        <v>2047</v>
      </c>
      <c r="D848" s="412">
        <f t="shared" si="55"/>
        <v>1880799.0282692364</v>
      </c>
      <c r="E848" s="456">
        <f t="shared" si="58"/>
        <v>278636.89307692309</v>
      </c>
      <c r="F848" s="412">
        <f t="shared" si="53"/>
        <v>1602162.1351923132</v>
      </c>
      <c r="G848" s="851">
        <f t="shared" si="56"/>
        <v>473519.35085192422</v>
      </c>
      <c r="H848" s="854">
        <f t="shared" si="57"/>
        <v>473519.35085192422</v>
      </c>
      <c r="I848" s="453">
        <f t="shared" si="54"/>
        <v>0</v>
      </c>
      <c r="J848" s="453"/>
      <c r="K848" s="566"/>
      <c r="L848" s="459"/>
      <c r="M848" s="566"/>
      <c r="N848" s="459"/>
      <c r="O848" s="459"/>
      <c r="P848" s="4"/>
    </row>
    <row r="849" spans="3:16">
      <c r="C849" s="449">
        <f>IF(D809="","-",+C848+1)</f>
        <v>2048</v>
      </c>
      <c r="D849" s="412">
        <f t="shared" si="55"/>
        <v>1602162.1351923132</v>
      </c>
      <c r="E849" s="456">
        <f t="shared" si="58"/>
        <v>278636.89307692309</v>
      </c>
      <c r="F849" s="412">
        <f t="shared" si="53"/>
        <v>1323525.24211539</v>
      </c>
      <c r="G849" s="851">
        <f t="shared" si="56"/>
        <v>442338.15760792413</v>
      </c>
      <c r="H849" s="854">
        <f t="shared" si="57"/>
        <v>442338.15760792413</v>
      </c>
      <c r="I849" s="453">
        <f t="shared" si="54"/>
        <v>0</v>
      </c>
      <c r="J849" s="453"/>
      <c r="K849" s="566"/>
      <c r="L849" s="459"/>
      <c r="M849" s="566"/>
      <c r="N849" s="459"/>
      <c r="O849" s="459"/>
      <c r="P849" s="4"/>
    </row>
    <row r="850" spans="3:16">
      <c r="C850" s="449">
        <f>IF(D809="","-",+C849+1)</f>
        <v>2049</v>
      </c>
      <c r="D850" s="412">
        <f t="shared" si="55"/>
        <v>1323525.24211539</v>
      </c>
      <c r="E850" s="456">
        <f t="shared" si="58"/>
        <v>278636.89307692309</v>
      </c>
      <c r="F850" s="412">
        <f t="shared" si="53"/>
        <v>1044888.3490384669</v>
      </c>
      <c r="G850" s="851">
        <f t="shared" si="56"/>
        <v>411156.96436392399</v>
      </c>
      <c r="H850" s="854">
        <f t="shared" si="57"/>
        <v>411156.96436392399</v>
      </c>
      <c r="I850" s="453">
        <f t="shared" si="54"/>
        <v>0</v>
      </c>
      <c r="J850" s="453"/>
      <c r="K850" s="566"/>
      <c r="L850" s="459"/>
      <c r="M850" s="566"/>
      <c r="N850" s="459"/>
      <c r="O850" s="459"/>
      <c r="P850" s="4"/>
    </row>
    <row r="851" spans="3:16">
      <c r="C851" s="449">
        <f>IF(D809="","-",+C850+1)</f>
        <v>2050</v>
      </c>
      <c r="D851" s="412">
        <f t="shared" si="55"/>
        <v>1044888.3490384669</v>
      </c>
      <c r="E851" s="456">
        <f t="shared" si="58"/>
        <v>278636.89307692309</v>
      </c>
      <c r="F851" s="412">
        <f t="shared" si="53"/>
        <v>766251.45596154383</v>
      </c>
      <c r="G851" s="851">
        <f t="shared" si="56"/>
        <v>379975.77111992397</v>
      </c>
      <c r="H851" s="854">
        <f t="shared" si="57"/>
        <v>379975.77111992397</v>
      </c>
      <c r="I851" s="453">
        <f t="shared" si="54"/>
        <v>0</v>
      </c>
      <c r="J851" s="453"/>
      <c r="K851" s="566"/>
      <c r="L851" s="459"/>
      <c r="M851" s="566"/>
      <c r="N851" s="459"/>
      <c r="O851" s="459"/>
      <c r="P851" s="4"/>
    </row>
    <row r="852" spans="3:16">
      <c r="C852" s="449">
        <f>IF(D809="","-",+C851+1)</f>
        <v>2051</v>
      </c>
      <c r="D852" s="412">
        <f t="shared" si="55"/>
        <v>766251.45596154383</v>
      </c>
      <c r="E852" s="456">
        <f t="shared" si="58"/>
        <v>278636.89307692309</v>
      </c>
      <c r="F852" s="412">
        <f t="shared" si="53"/>
        <v>487614.56288462074</v>
      </c>
      <c r="G852" s="851">
        <f t="shared" si="56"/>
        <v>348794.57787592383</v>
      </c>
      <c r="H852" s="854">
        <f t="shared" si="57"/>
        <v>348794.57787592383</v>
      </c>
      <c r="I852" s="453">
        <f t="shared" si="54"/>
        <v>0</v>
      </c>
      <c r="J852" s="453"/>
      <c r="K852" s="566"/>
      <c r="L852" s="459"/>
      <c r="M852" s="566"/>
      <c r="N852" s="459"/>
      <c r="O852" s="459"/>
      <c r="P852" s="4"/>
    </row>
    <row r="853" spans="3:16">
      <c r="C853" s="449">
        <f>IF(D809="","-",+C852+1)</f>
        <v>2052</v>
      </c>
      <c r="D853" s="412">
        <f t="shared" si="55"/>
        <v>487614.56288462074</v>
      </c>
      <c r="E853" s="456">
        <f t="shared" si="58"/>
        <v>278636.89307692309</v>
      </c>
      <c r="F853" s="412">
        <f t="shared" si="53"/>
        <v>208977.66980769765</v>
      </c>
      <c r="G853" s="851">
        <f t="shared" si="56"/>
        <v>317613.38463192381</v>
      </c>
      <c r="H853" s="854">
        <f t="shared" si="57"/>
        <v>317613.38463192381</v>
      </c>
      <c r="I853" s="453">
        <f t="shared" si="54"/>
        <v>0</v>
      </c>
      <c r="J853" s="453"/>
      <c r="K853" s="566"/>
      <c r="L853" s="459"/>
      <c r="M853" s="566"/>
      <c r="N853" s="459"/>
      <c r="O853" s="459"/>
      <c r="P853" s="4"/>
    </row>
    <row r="854" spans="3:16">
      <c r="C854" s="449">
        <f>IF(D809="","-",+C853+1)</f>
        <v>2053</v>
      </c>
      <c r="D854" s="412">
        <f t="shared" si="55"/>
        <v>208977.66980769765</v>
      </c>
      <c r="E854" s="456">
        <f t="shared" si="58"/>
        <v>208977.66980769765</v>
      </c>
      <c r="F854" s="412">
        <f t="shared" si="53"/>
        <v>0</v>
      </c>
      <c r="G854" s="851">
        <f t="shared" si="56"/>
        <v>220670.61727419798</v>
      </c>
      <c r="H854" s="854">
        <f t="shared" si="57"/>
        <v>220670.61727419798</v>
      </c>
      <c r="I854" s="453">
        <f t="shared" si="54"/>
        <v>0</v>
      </c>
      <c r="J854" s="453"/>
      <c r="K854" s="566"/>
      <c r="L854" s="459"/>
      <c r="M854" s="566"/>
      <c r="N854" s="459"/>
      <c r="O854" s="459"/>
      <c r="P854" s="4"/>
    </row>
    <row r="855" spans="3:16">
      <c r="C855" s="449">
        <f>IF(D809="","-",+C854+1)</f>
        <v>2054</v>
      </c>
      <c r="D855" s="412">
        <f t="shared" si="55"/>
        <v>0</v>
      </c>
      <c r="E855" s="456">
        <f t="shared" si="58"/>
        <v>0</v>
      </c>
      <c r="F855" s="412">
        <f t="shared" si="53"/>
        <v>0</v>
      </c>
      <c r="G855" s="851">
        <f t="shared" si="56"/>
        <v>0</v>
      </c>
      <c r="H855" s="854">
        <f t="shared" si="57"/>
        <v>0</v>
      </c>
      <c r="I855" s="453">
        <f t="shared" si="54"/>
        <v>0</v>
      </c>
      <c r="J855" s="453"/>
      <c r="K855" s="566"/>
      <c r="L855" s="459"/>
      <c r="M855" s="566"/>
      <c r="N855" s="459"/>
      <c r="O855" s="459"/>
      <c r="P855" s="4"/>
    </row>
    <row r="856" spans="3:16">
      <c r="C856" s="449">
        <f>IF(D809="","-",+C855+1)</f>
        <v>2055</v>
      </c>
      <c r="D856" s="412">
        <f t="shared" si="55"/>
        <v>0</v>
      </c>
      <c r="E856" s="456">
        <f t="shared" si="58"/>
        <v>0</v>
      </c>
      <c r="F856" s="412">
        <f t="shared" si="53"/>
        <v>0</v>
      </c>
      <c r="G856" s="851">
        <f t="shared" si="56"/>
        <v>0</v>
      </c>
      <c r="H856" s="854">
        <f t="shared" si="57"/>
        <v>0</v>
      </c>
      <c r="I856" s="453">
        <f t="shared" si="54"/>
        <v>0</v>
      </c>
      <c r="J856" s="453"/>
      <c r="K856" s="566"/>
      <c r="L856" s="459"/>
      <c r="M856" s="566"/>
      <c r="N856" s="459"/>
      <c r="O856" s="459"/>
      <c r="P856" s="4"/>
    </row>
    <row r="857" spans="3:16">
      <c r="C857" s="449">
        <f>IF(D809="","-",+C856+1)</f>
        <v>2056</v>
      </c>
      <c r="D857" s="412">
        <f t="shared" si="55"/>
        <v>0</v>
      </c>
      <c r="E857" s="456">
        <f t="shared" si="58"/>
        <v>0</v>
      </c>
      <c r="F857" s="412">
        <f t="shared" si="53"/>
        <v>0</v>
      </c>
      <c r="G857" s="851">
        <f t="shared" si="56"/>
        <v>0</v>
      </c>
      <c r="H857" s="854">
        <f t="shared" si="57"/>
        <v>0</v>
      </c>
      <c r="I857" s="453">
        <f t="shared" si="54"/>
        <v>0</v>
      </c>
      <c r="J857" s="453"/>
      <c r="K857" s="566"/>
      <c r="L857" s="459"/>
      <c r="M857" s="566"/>
      <c r="N857" s="459"/>
      <c r="O857" s="459"/>
      <c r="P857" s="4"/>
    </row>
    <row r="858" spans="3:16">
      <c r="C858" s="449">
        <f>IF(D809="","-",+C857+1)</f>
        <v>2057</v>
      </c>
      <c r="D858" s="412">
        <f t="shared" si="55"/>
        <v>0</v>
      </c>
      <c r="E858" s="456">
        <f t="shared" si="58"/>
        <v>0</v>
      </c>
      <c r="F858" s="412">
        <f t="shared" si="53"/>
        <v>0</v>
      </c>
      <c r="G858" s="851">
        <f t="shared" si="56"/>
        <v>0</v>
      </c>
      <c r="H858" s="854">
        <f t="shared" si="57"/>
        <v>0</v>
      </c>
      <c r="I858" s="453">
        <f t="shared" si="54"/>
        <v>0</v>
      </c>
      <c r="J858" s="453"/>
      <c r="K858" s="566"/>
      <c r="L858" s="459"/>
      <c r="M858" s="566"/>
      <c r="N858" s="459"/>
      <c r="O858" s="459"/>
      <c r="P858" s="4"/>
    </row>
    <row r="859" spans="3:16">
      <c r="C859" s="449">
        <f>IF(D809="","-",+C858+1)</f>
        <v>2058</v>
      </c>
      <c r="D859" s="412">
        <f t="shared" si="55"/>
        <v>0</v>
      </c>
      <c r="E859" s="456">
        <f t="shared" si="58"/>
        <v>0</v>
      </c>
      <c r="F859" s="412">
        <f t="shared" si="53"/>
        <v>0</v>
      </c>
      <c r="G859" s="851">
        <f t="shared" si="56"/>
        <v>0</v>
      </c>
      <c r="H859" s="854">
        <f t="shared" si="57"/>
        <v>0</v>
      </c>
      <c r="I859" s="453">
        <f t="shared" si="54"/>
        <v>0</v>
      </c>
      <c r="J859" s="453"/>
      <c r="K859" s="566"/>
      <c r="L859" s="459"/>
      <c r="M859" s="566"/>
      <c r="N859" s="459"/>
      <c r="O859" s="459"/>
      <c r="P859" s="4"/>
    </row>
    <row r="860" spans="3:16">
      <c r="C860" s="449">
        <f>IF(D809="","-",+C859+1)</f>
        <v>2059</v>
      </c>
      <c r="D860" s="412">
        <f t="shared" si="55"/>
        <v>0</v>
      </c>
      <c r="E860" s="456">
        <f t="shared" si="58"/>
        <v>0</v>
      </c>
      <c r="F860" s="412">
        <f t="shared" si="53"/>
        <v>0</v>
      </c>
      <c r="G860" s="851">
        <f t="shared" si="56"/>
        <v>0</v>
      </c>
      <c r="H860" s="854">
        <f t="shared" si="57"/>
        <v>0</v>
      </c>
      <c r="I860" s="453">
        <f t="shared" si="54"/>
        <v>0</v>
      </c>
      <c r="J860" s="453"/>
      <c r="K860" s="566"/>
      <c r="L860" s="459"/>
      <c r="M860" s="566"/>
      <c r="N860" s="459"/>
      <c r="O860" s="459"/>
      <c r="P860" s="4"/>
    </row>
    <row r="861" spans="3:16">
      <c r="C861" s="449">
        <f>IF(D809="","-",+C860+1)</f>
        <v>2060</v>
      </c>
      <c r="D861" s="412">
        <f t="shared" si="55"/>
        <v>0</v>
      </c>
      <c r="E861" s="456">
        <f t="shared" si="58"/>
        <v>0</v>
      </c>
      <c r="F861" s="412">
        <f t="shared" si="53"/>
        <v>0</v>
      </c>
      <c r="G861" s="851">
        <f t="shared" si="56"/>
        <v>0</v>
      </c>
      <c r="H861" s="854">
        <f t="shared" si="57"/>
        <v>0</v>
      </c>
      <c r="I861" s="453">
        <f t="shared" si="54"/>
        <v>0</v>
      </c>
      <c r="J861" s="453"/>
      <c r="K861" s="566"/>
      <c r="L861" s="459"/>
      <c r="M861" s="566"/>
      <c r="N861" s="459"/>
      <c r="O861" s="459"/>
      <c r="P861" s="4"/>
    </row>
    <row r="862" spans="3:16">
      <c r="C862" s="449">
        <f>IF(D809="","-",+C861+1)</f>
        <v>2061</v>
      </c>
      <c r="D862" s="412">
        <f t="shared" si="55"/>
        <v>0</v>
      </c>
      <c r="E862" s="456">
        <f t="shared" si="58"/>
        <v>0</v>
      </c>
      <c r="F862" s="412">
        <f t="shared" si="53"/>
        <v>0</v>
      </c>
      <c r="G862" s="851">
        <f t="shared" si="56"/>
        <v>0</v>
      </c>
      <c r="H862" s="854">
        <f t="shared" si="57"/>
        <v>0</v>
      </c>
      <c r="I862" s="453">
        <f t="shared" si="54"/>
        <v>0</v>
      </c>
      <c r="J862" s="453"/>
      <c r="K862" s="566"/>
      <c r="L862" s="459"/>
      <c r="M862" s="566"/>
      <c r="N862" s="459"/>
      <c r="O862" s="459"/>
      <c r="P862" s="4"/>
    </row>
    <row r="863" spans="3:16">
      <c r="C863" s="449">
        <f>IF(D809="","-",+C862+1)</f>
        <v>2062</v>
      </c>
      <c r="D863" s="412">
        <f t="shared" si="55"/>
        <v>0</v>
      </c>
      <c r="E863" s="456">
        <f t="shared" si="58"/>
        <v>0</v>
      </c>
      <c r="F863" s="412">
        <f t="shared" si="53"/>
        <v>0</v>
      </c>
      <c r="G863" s="851">
        <f t="shared" si="56"/>
        <v>0</v>
      </c>
      <c r="H863" s="854">
        <f t="shared" si="57"/>
        <v>0</v>
      </c>
      <c r="I863" s="453">
        <f t="shared" si="54"/>
        <v>0</v>
      </c>
      <c r="J863" s="453"/>
      <c r="K863" s="566"/>
      <c r="L863" s="459"/>
      <c r="M863" s="566"/>
      <c r="N863" s="459"/>
      <c r="O863" s="459"/>
      <c r="P863" s="4"/>
    </row>
    <row r="864" spans="3:16">
      <c r="C864" s="449">
        <f>IF(D809="","-",+C863+1)</f>
        <v>2063</v>
      </c>
      <c r="D864" s="412">
        <f t="shared" si="55"/>
        <v>0</v>
      </c>
      <c r="E864" s="456">
        <f t="shared" si="58"/>
        <v>0</v>
      </c>
      <c r="F864" s="412">
        <f t="shared" si="53"/>
        <v>0</v>
      </c>
      <c r="G864" s="851">
        <f t="shared" si="56"/>
        <v>0</v>
      </c>
      <c r="H864" s="854">
        <f t="shared" si="57"/>
        <v>0</v>
      </c>
      <c r="I864" s="453">
        <f t="shared" si="54"/>
        <v>0</v>
      </c>
      <c r="J864" s="453"/>
      <c r="K864" s="566"/>
      <c r="L864" s="459"/>
      <c r="M864" s="566"/>
      <c r="N864" s="459"/>
      <c r="O864" s="459"/>
      <c r="P864" s="4"/>
    </row>
    <row r="865" spans="3:16">
      <c r="C865" s="449">
        <f>IF(D809="","-",+C864+1)</f>
        <v>2064</v>
      </c>
      <c r="D865" s="412">
        <f t="shared" si="55"/>
        <v>0</v>
      </c>
      <c r="E865" s="456">
        <f t="shared" si="58"/>
        <v>0</v>
      </c>
      <c r="F865" s="412">
        <f t="shared" si="53"/>
        <v>0</v>
      </c>
      <c r="G865" s="851">
        <f t="shared" si="56"/>
        <v>0</v>
      </c>
      <c r="H865" s="854">
        <f t="shared" si="57"/>
        <v>0</v>
      </c>
      <c r="I865" s="453">
        <f t="shared" si="54"/>
        <v>0</v>
      </c>
      <c r="J865" s="453"/>
      <c r="K865" s="566"/>
      <c r="L865" s="459"/>
      <c r="M865" s="566"/>
      <c r="N865" s="459"/>
      <c r="O865" s="459"/>
      <c r="P865" s="4"/>
    </row>
    <row r="866" spans="3:16">
      <c r="C866" s="449">
        <f>IF(D809="","-",+C865+1)</f>
        <v>2065</v>
      </c>
      <c r="D866" s="412">
        <f t="shared" si="55"/>
        <v>0</v>
      </c>
      <c r="E866" s="456">
        <f t="shared" si="58"/>
        <v>0</v>
      </c>
      <c r="F866" s="412">
        <f t="shared" si="53"/>
        <v>0</v>
      </c>
      <c r="G866" s="851">
        <f t="shared" si="56"/>
        <v>0</v>
      </c>
      <c r="H866" s="854">
        <f t="shared" si="57"/>
        <v>0</v>
      </c>
      <c r="I866" s="453">
        <f t="shared" si="54"/>
        <v>0</v>
      </c>
      <c r="J866" s="453"/>
      <c r="K866" s="566"/>
      <c r="L866" s="459"/>
      <c r="M866" s="566"/>
      <c r="N866" s="459"/>
      <c r="O866" s="459"/>
      <c r="P866" s="4"/>
    </row>
    <row r="867" spans="3:16">
      <c r="C867" s="449">
        <f>IF(D809="","-",+C866+1)</f>
        <v>2066</v>
      </c>
      <c r="D867" s="412">
        <f t="shared" si="55"/>
        <v>0</v>
      </c>
      <c r="E867" s="456">
        <f t="shared" si="58"/>
        <v>0</v>
      </c>
      <c r="F867" s="412">
        <f t="shared" si="53"/>
        <v>0</v>
      </c>
      <c r="G867" s="851">
        <f t="shared" si="56"/>
        <v>0</v>
      </c>
      <c r="H867" s="854">
        <f t="shared" si="57"/>
        <v>0</v>
      </c>
      <c r="I867" s="453">
        <f t="shared" si="54"/>
        <v>0</v>
      </c>
      <c r="J867" s="453"/>
      <c r="K867" s="566"/>
      <c r="L867" s="459"/>
      <c r="M867" s="566"/>
      <c r="N867" s="459"/>
      <c r="O867" s="459"/>
      <c r="P867" s="4"/>
    </row>
    <row r="868" spans="3:16">
      <c r="C868" s="449">
        <f>IF(D809="","-",+C867+1)</f>
        <v>2067</v>
      </c>
      <c r="D868" s="412">
        <f t="shared" si="55"/>
        <v>0</v>
      </c>
      <c r="E868" s="456">
        <f t="shared" si="58"/>
        <v>0</v>
      </c>
      <c r="F868" s="412">
        <f t="shared" si="53"/>
        <v>0</v>
      </c>
      <c r="G868" s="851">
        <f t="shared" si="56"/>
        <v>0</v>
      </c>
      <c r="H868" s="854">
        <f t="shared" si="57"/>
        <v>0</v>
      </c>
      <c r="I868" s="453">
        <f t="shared" si="54"/>
        <v>0</v>
      </c>
      <c r="J868" s="453"/>
      <c r="K868" s="566"/>
      <c r="L868" s="459"/>
      <c r="M868" s="566"/>
      <c r="N868" s="459"/>
      <c r="O868" s="459"/>
      <c r="P868" s="4"/>
    </row>
    <row r="869" spans="3:16">
      <c r="C869" s="449">
        <f>IF(D809="","-",+C868+1)</f>
        <v>2068</v>
      </c>
      <c r="D869" s="412">
        <f t="shared" si="55"/>
        <v>0</v>
      </c>
      <c r="E869" s="456">
        <f t="shared" si="58"/>
        <v>0</v>
      </c>
      <c r="F869" s="412">
        <f t="shared" si="53"/>
        <v>0</v>
      </c>
      <c r="G869" s="851">
        <f t="shared" si="56"/>
        <v>0</v>
      </c>
      <c r="H869" s="854">
        <f t="shared" si="57"/>
        <v>0</v>
      </c>
      <c r="I869" s="453">
        <f t="shared" si="54"/>
        <v>0</v>
      </c>
      <c r="J869" s="453"/>
      <c r="K869" s="566"/>
      <c r="L869" s="459"/>
      <c r="M869" s="566"/>
      <c r="N869" s="459"/>
      <c r="O869" s="459"/>
      <c r="P869" s="4"/>
    </row>
    <row r="870" spans="3:16">
      <c r="C870" s="449">
        <f>IF(D809="","-",+C869+1)</f>
        <v>2069</v>
      </c>
      <c r="D870" s="412">
        <f t="shared" si="55"/>
        <v>0</v>
      </c>
      <c r="E870" s="456">
        <f t="shared" si="58"/>
        <v>0</v>
      </c>
      <c r="F870" s="412">
        <f t="shared" si="53"/>
        <v>0</v>
      </c>
      <c r="G870" s="851">
        <f t="shared" si="56"/>
        <v>0</v>
      </c>
      <c r="H870" s="854">
        <f t="shared" si="57"/>
        <v>0</v>
      </c>
      <c r="I870" s="453">
        <f t="shared" si="54"/>
        <v>0</v>
      </c>
      <c r="J870" s="453"/>
      <c r="K870" s="566"/>
      <c r="L870" s="459"/>
      <c r="M870" s="566"/>
      <c r="N870" s="459"/>
      <c r="O870" s="459"/>
      <c r="P870" s="4"/>
    </row>
    <row r="871" spans="3:16">
      <c r="C871" s="449">
        <f>IF(D809="","-",+C870+1)</f>
        <v>2070</v>
      </c>
      <c r="D871" s="412">
        <f t="shared" si="55"/>
        <v>0</v>
      </c>
      <c r="E871" s="456">
        <f t="shared" si="58"/>
        <v>0</v>
      </c>
      <c r="F871" s="412">
        <f t="shared" si="53"/>
        <v>0</v>
      </c>
      <c r="G871" s="851">
        <f t="shared" si="56"/>
        <v>0</v>
      </c>
      <c r="H871" s="854">
        <f t="shared" si="57"/>
        <v>0</v>
      </c>
      <c r="I871" s="453">
        <f t="shared" si="54"/>
        <v>0</v>
      </c>
      <c r="J871" s="453"/>
      <c r="K871" s="566"/>
      <c r="L871" s="459"/>
      <c r="M871" s="566"/>
      <c r="N871" s="459"/>
      <c r="O871" s="459"/>
      <c r="P871" s="4"/>
    </row>
    <row r="872" spans="3:16">
      <c r="C872" s="449">
        <f>IF(D809="","-",+C871+1)</f>
        <v>2071</v>
      </c>
      <c r="D872" s="412">
        <f t="shared" si="55"/>
        <v>0</v>
      </c>
      <c r="E872" s="456">
        <f t="shared" si="58"/>
        <v>0</v>
      </c>
      <c r="F872" s="412">
        <f t="shared" si="53"/>
        <v>0</v>
      </c>
      <c r="G872" s="851">
        <f t="shared" si="56"/>
        <v>0</v>
      </c>
      <c r="H872" s="854">
        <f t="shared" si="57"/>
        <v>0</v>
      </c>
      <c r="I872" s="453">
        <f t="shared" si="54"/>
        <v>0</v>
      </c>
      <c r="J872" s="453"/>
      <c r="K872" s="566"/>
      <c r="L872" s="459"/>
      <c r="M872" s="566"/>
      <c r="N872" s="459"/>
      <c r="O872" s="459"/>
      <c r="P872" s="4"/>
    </row>
    <row r="873" spans="3:16">
      <c r="C873" s="449">
        <f>IF(D809="","-",+C872+1)</f>
        <v>2072</v>
      </c>
      <c r="D873" s="412">
        <f t="shared" si="55"/>
        <v>0</v>
      </c>
      <c r="E873" s="456">
        <f t="shared" si="58"/>
        <v>0</v>
      </c>
      <c r="F873" s="412">
        <f t="shared" si="53"/>
        <v>0</v>
      </c>
      <c r="G873" s="851">
        <f t="shared" si="56"/>
        <v>0</v>
      </c>
      <c r="H873" s="854">
        <f t="shared" si="57"/>
        <v>0</v>
      </c>
      <c r="I873" s="453">
        <f t="shared" si="54"/>
        <v>0</v>
      </c>
      <c r="J873" s="453"/>
      <c r="K873" s="566"/>
      <c r="L873" s="459"/>
      <c r="M873" s="566"/>
      <c r="N873" s="459"/>
      <c r="O873" s="459"/>
      <c r="P873" s="4"/>
    </row>
    <row r="874" spans="3:16" ht="13.5" thickBot="1">
      <c r="C874" s="461">
        <f>IF(D809="","-",+C873+1)</f>
        <v>2073</v>
      </c>
      <c r="D874" s="462">
        <f t="shared" si="55"/>
        <v>0</v>
      </c>
      <c r="E874" s="463">
        <f t="shared" si="58"/>
        <v>0</v>
      </c>
      <c r="F874" s="462">
        <f t="shared" si="53"/>
        <v>0</v>
      </c>
      <c r="G874" s="861">
        <f t="shared" si="56"/>
        <v>0</v>
      </c>
      <c r="H874" s="861">
        <f t="shared" si="57"/>
        <v>0</v>
      </c>
      <c r="I874" s="465">
        <f t="shared" si="54"/>
        <v>0</v>
      </c>
      <c r="J874" s="453"/>
      <c r="K874" s="567"/>
      <c r="L874" s="467"/>
      <c r="M874" s="567"/>
      <c r="N874" s="467"/>
      <c r="O874" s="467"/>
      <c r="P874" s="4"/>
    </row>
    <row r="875" spans="3:16">
      <c r="C875" s="412" t="s">
        <v>288</v>
      </c>
      <c r="D875" s="832"/>
      <c r="E875" s="832">
        <f>SUM(E815:E874)</f>
        <v>10866838.829999998</v>
      </c>
      <c r="F875" s="832"/>
      <c r="G875" s="832">
        <f>SUM(G815:G874)</f>
        <v>35492186.194449082</v>
      </c>
      <c r="H875" s="832">
        <f>SUM(H815:H874)</f>
        <v>35492186.194449082</v>
      </c>
      <c r="I875" s="832">
        <f>SUM(I815:I874)</f>
        <v>0</v>
      </c>
      <c r="J875" s="832"/>
      <c r="K875" s="832"/>
      <c r="L875" s="832"/>
      <c r="M875" s="832"/>
      <c r="N875" s="832"/>
      <c r="O875" s="4"/>
      <c r="P875" s="4"/>
    </row>
    <row r="876" spans="3:16">
      <c r="D876" s="67"/>
      <c r="E876" s="4"/>
      <c r="F876" s="4"/>
      <c r="G876" s="4"/>
      <c r="H876" s="831"/>
      <c r="I876" s="831"/>
      <c r="J876" s="832"/>
      <c r="K876" s="831"/>
      <c r="L876" s="831"/>
      <c r="M876" s="831"/>
      <c r="N876" s="831"/>
      <c r="O876" s="4"/>
      <c r="P876" s="4"/>
    </row>
    <row r="877" spans="3:16">
      <c r="C877" s="4" t="s">
        <v>601</v>
      </c>
      <c r="D877" s="67"/>
      <c r="E877" s="4"/>
      <c r="F877" s="4"/>
      <c r="G877" s="4"/>
      <c r="H877" s="831"/>
      <c r="I877" s="831"/>
      <c r="J877" s="832"/>
      <c r="K877" s="831"/>
      <c r="L877" s="831"/>
      <c r="M877" s="831"/>
      <c r="N877" s="831"/>
      <c r="O877" s="4"/>
      <c r="P877" s="4"/>
    </row>
    <row r="878" spans="3:16">
      <c r="D878" s="67"/>
      <c r="E878" s="4"/>
      <c r="F878" s="4"/>
      <c r="G878" s="4"/>
      <c r="H878" s="831"/>
      <c r="I878" s="831"/>
      <c r="J878" s="832"/>
      <c r="K878" s="831"/>
      <c r="L878" s="831"/>
      <c r="M878" s="831"/>
      <c r="N878" s="831"/>
      <c r="O878" s="4"/>
      <c r="P878" s="4"/>
    </row>
    <row r="879" spans="3:16">
      <c r="C879" s="4" t="s">
        <v>602</v>
      </c>
      <c r="D879" s="412"/>
      <c r="E879" s="412"/>
      <c r="F879" s="412"/>
      <c r="G879" s="832"/>
      <c r="H879" s="832"/>
      <c r="I879" s="414"/>
      <c r="J879" s="414"/>
      <c r="K879" s="414"/>
      <c r="L879" s="414"/>
      <c r="M879" s="414"/>
      <c r="N879" s="414"/>
      <c r="O879" s="4"/>
      <c r="P879" s="4"/>
    </row>
    <row r="880" spans="3:16">
      <c r="C880" s="4" t="s">
        <v>476</v>
      </c>
      <c r="D880" s="412"/>
      <c r="E880" s="412"/>
      <c r="F880" s="412"/>
      <c r="G880" s="832"/>
      <c r="H880" s="832"/>
      <c r="I880" s="414"/>
      <c r="J880" s="414"/>
      <c r="K880" s="414"/>
      <c r="L880" s="414"/>
      <c r="M880" s="414"/>
      <c r="N880" s="414"/>
      <c r="O880" s="4"/>
      <c r="P880" s="4"/>
    </row>
    <row r="881" spans="1:16">
      <c r="C881" s="4" t="s">
        <v>289</v>
      </c>
      <c r="D881" s="412"/>
      <c r="E881" s="412"/>
      <c r="F881" s="412"/>
      <c r="G881" s="832"/>
      <c r="H881" s="832"/>
      <c r="I881" s="414"/>
      <c r="J881" s="414"/>
      <c r="K881" s="414"/>
      <c r="L881" s="414"/>
      <c r="M881" s="414"/>
      <c r="N881" s="414"/>
      <c r="O881" s="4"/>
      <c r="P881" s="4"/>
    </row>
    <row r="882" spans="1:16">
      <c r="C882" s="413"/>
      <c r="D882" s="412"/>
      <c r="E882" s="412"/>
      <c r="F882" s="412"/>
      <c r="G882" s="832"/>
      <c r="H882" s="832"/>
      <c r="I882" s="414"/>
      <c r="J882" s="414"/>
      <c r="K882" s="414"/>
      <c r="L882" s="414"/>
      <c r="M882" s="414"/>
      <c r="N882" s="414"/>
      <c r="O882" s="4"/>
      <c r="P882" s="4"/>
    </row>
    <row r="883" spans="1:16">
      <c r="C883" s="1279" t="s">
        <v>460</v>
      </c>
      <c r="D883" s="1279"/>
      <c r="E883" s="1279"/>
      <c r="F883" s="1279"/>
      <c r="G883" s="1279"/>
      <c r="H883" s="1279"/>
      <c r="I883" s="1279"/>
      <c r="J883" s="1279"/>
      <c r="K883" s="1279"/>
      <c r="L883" s="1279"/>
      <c r="M883" s="1279"/>
      <c r="N883" s="1279"/>
      <c r="O883" s="1279"/>
      <c r="P883" s="4"/>
    </row>
    <row r="884" spans="1:16">
      <c r="C884" s="1279"/>
      <c r="D884" s="1279"/>
      <c r="E884" s="1279"/>
      <c r="F884" s="1279"/>
      <c r="G884" s="1279"/>
      <c r="H884" s="1279"/>
      <c r="I884" s="1279"/>
      <c r="J884" s="1279"/>
      <c r="K884" s="1279"/>
      <c r="L884" s="1279"/>
      <c r="M884" s="1279"/>
      <c r="N884" s="1279"/>
      <c r="O884" s="1279"/>
      <c r="P884" s="4"/>
    </row>
    <row r="885" spans="1:16" ht="20.25">
      <c r="A885" s="352" t="s">
        <v>929</v>
      </c>
      <c r="B885" s="4"/>
      <c r="C885" s="4"/>
      <c r="D885" s="67"/>
      <c r="E885" s="4"/>
      <c r="F885" s="394"/>
      <c r="G885" s="4"/>
      <c r="H885" s="831"/>
      <c r="K885" s="353"/>
      <c r="L885" s="353"/>
      <c r="M885" s="353"/>
      <c r="N885" s="353" t="str">
        <f>"Page "&amp;SUM(P$6:P885)&amp;" of "</f>
        <v xml:space="preserve">Page 11 of </v>
      </c>
      <c r="O885" s="354">
        <f>COUNT(P$6:P$59606)</f>
        <v>18</v>
      </c>
      <c r="P885" s="4">
        <v>1</v>
      </c>
    </row>
    <row r="886" spans="1:16">
      <c r="B886" s="4"/>
      <c r="C886" s="4"/>
      <c r="D886" s="67"/>
      <c r="E886" s="4"/>
      <c r="F886" s="4"/>
      <c r="G886" s="4"/>
      <c r="H886" s="831"/>
      <c r="I886" s="4"/>
      <c r="J886" s="4"/>
      <c r="K886" s="4"/>
      <c r="L886" s="4"/>
      <c r="M886" s="4"/>
      <c r="N886" s="4"/>
      <c r="O886" s="4"/>
      <c r="P886" s="4"/>
    </row>
    <row r="887" spans="1:16" ht="18">
      <c r="B887" s="355" t="s">
        <v>174</v>
      </c>
      <c r="C887" s="415" t="s">
        <v>290</v>
      </c>
      <c r="D887" s="67"/>
      <c r="E887" s="4"/>
      <c r="F887" s="4"/>
      <c r="G887" s="4"/>
      <c r="H887" s="831"/>
      <c r="I887" s="831"/>
      <c r="J887" s="832"/>
      <c r="K887" s="831"/>
      <c r="L887" s="831"/>
      <c r="M887" s="831"/>
      <c r="N887" s="831"/>
      <c r="O887" s="4"/>
      <c r="P887" s="4"/>
    </row>
    <row r="888" spans="1:16" ht="18.75">
      <c r="B888" s="355"/>
      <c r="C888" s="11"/>
      <c r="D888" s="67"/>
      <c r="E888" s="4"/>
      <c r="F888" s="4"/>
      <c r="G888" s="4"/>
      <c r="H888" s="831"/>
      <c r="I888" s="831"/>
      <c r="J888" s="832"/>
      <c r="K888" s="831"/>
      <c r="L888" s="831"/>
      <c r="M888" s="831"/>
      <c r="N888" s="831"/>
      <c r="O888" s="4"/>
      <c r="P888" s="4"/>
    </row>
    <row r="889" spans="1:16" ht="18.75">
      <c r="B889" s="355"/>
      <c r="C889" s="11" t="s">
        <v>291</v>
      </c>
      <c r="D889" s="67"/>
      <c r="E889" s="4"/>
      <c r="F889" s="4"/>
      <c r="G889" s="4"/>
      <c r="H889" s="831"/>
      <c r="I889" s="831"/>
      <c r="J889" s="832"/>
      <c r="K889" s="831"/>
      <c r="L889" s="831"/>
      <c r="M889" s="831"/>
      <c r="N889" s="831"/>
      <c r="O889" s="4"/>
      <c r="P889" s="4"/>
    </row>
    <row r="890" spans="1:16" ht="15.75" thickBot="1">
      <c r="C890" s="203"/>
      <c r="D890" s="67"/>
      <c r="E890" s="4"/>
      <c r="F890" s="4"/>
      <c r="G890" s="4"/>
      <c r="H890" s="831"/>
      <c r="I890" s="831"/>
      <c r="J890" s="832"/>
      <c r="K890" s="831"/>
      <c r="L890" s="831"/>
      <c r="M890" s="831"/>
      <c r="N890" s="831"/>
      <c r="O890" s="4"/>
      <c r="P890" s="4"/>
    </row>
    <row r="891" spans="1:16" ht="15.75">
      <c r="C891" s="356" t="s">
        <v>292</v>
      </c>
      <c r="D891" s="67"/>
      <c r="E891" s="4"/>
      <c r="F891" s="4"/>
      <c r="G891" s="833"/>
      <c r="H891" s="4" t="s">
        <v>271</v>
      </c>
      <c r="I891" s="4"/>
      <c r="J891" s="4"/>
      <c r="K891" s="416" t="s">
        <v>296</v>
      </c>
      <c r="L891" s="417"/>
      <c r="M891" s="418"/>
      <c r="N891" s="834">
        <f>VLOOKUP(I897,C904:O963,5)</f>
        <v>6862827.5492833871</v>
      </c>
      <c r="O891" s="4"/>
      <c r="P891" s="4"/>
    </row>
    <row r="892" spans="1:16" ht="15.75">
      <c r="C892" s="356"/>
      <c r="D892" s="67"/>
      <c r="E892" s="4"/>
      <c r="F892" s="4"/>
      <c r="G892" s="4"/>
      <c r="H892" s="835"/>
      <c r="I892" s="835"/>
      <c r="J892" s="836"/>
      <c r="K892" s="421" t="s">
        <v>297</v>
      </c>
      <c r="L892" s="837"/>
      <c r="M892" s="4"/>
      <c r="N892" s="838">
        <f>VLOOKUP(I897,C904:O963,6)</f>
        <v>6862827.5492833871</v>
      </c>
      <c r="O892" s="4"/>
      <c r="P892" s="4"/>
    </row>
    <row r="893" spans="1:16" ht="13.5" thickBot="1">
      <c r="C893" s="422" t="s">
        <v>293</v>
      </c>
      <c r="D893" s="1277" t="s">
        <v>940</v>
      </c>
      <c r="E893" s="1277"/>
      <c r="F893" s="1277"/>
      <c r="G893" s="1277"/>
      <c r="H893" s="1277"/>
      <c r="I893" s="831"/>
      <c r="J893" s="832"/>
      <c r="K893" s="839" t="s">
        <v>450</v>
      </c>
      <c r="L893" s="840"/>
      <c r="M893" s="840"/>
      <c r="N893" s="841">
        <f>+N892-N891</f>
        <v>0</v>
      </c>
      <c r="O893" s="4"/>
      <c r="P893" s="4"/>
    </row>
    <row r="894" spans="1:16">
      <c r="C894" s="424"/>
      <c r="D894" s="425"/>
      <c r="E894" s="412"/>
      <c r="F894" s="412"/>
      <c r="G894" s="426"/>
      <c r="H894" s="831"/>
      <c r="I894" s="831"/>
      <c r="J894" s="832"/>
      <c r="K894" s="831"/>
      <c r="L894" s="831"/>
      <c r="M894" s="831"/>
      <c r="N894" s="831"/>
      <c r="O894" s="4"/>
      <c r="P894" s="4"/>
    </row>
    <row r="895" spans="1:16" ht="13.5" thickBot="1">
      <c r="C895" s="424"/>
      <c r="D895" s="4"/>
      <c r="E895" s="426"/>
      <c r="F895" s="426"/>
      <c r="G895" s="426"/>
      <c r="H895" s="426"/>
      <c r="I895" s="426"/>
      <c r="J895" s="426"/>
      <c r="K895" s="426"/>
      <c r="L895" s="426"/>
      <c r="M895" s="426"/>
      <c r="N895" s="426"/>
      <c r="O895" s="4"/>
      <c r="P895" s="4"/>
    </row>
    <row r="896" spans="1:16" ht="13.5" thickBot="1">
      <c r="C896" s="427" t="s">
        <v>294</v>
      </c>
      <c r="D896" s="428"/>
      <c r="E896" s="428"/>
      <c r="F896" s="428"/>
      <c r="G896" s="428"/>
      <c r="H896" s="428"/>
      <c r="I896" s="429"/>
      <c r="K896" s="4"/>
      <c r="L896" s="4"/>
      <c r="M896" s="4"/>
      <c r="N896" s="4"/>
      <c r="O896" s="4"/>
      <c r="P896" s="4"/>
    </row>
    <row r="897" spans="1:16" ht="15">
      <c r="C897" s="430" t="s">
        <v>272</v>
      </c>
      <c r="D897" s="842">
        <v>63046560.969999999</v>
      </c>
      <c r="E897" s="4" t="s">
        <v>273</v>
      </c>
      <c r="G897" s="67"/>
      <c r="H897" s="67"/>
      <c r="I897" s="431">
        <f>$L$26</f>
        <v>2026</v>
      </c>
      <c r="J897" s="114"/>
      <c r="K897" s="1278" t="s">
        <v>459</v>
      </c>
      <c r="L897" s="1278"/>
      <c r="M897" s="1278"/>
      <c r="N897" s="1278"/>
      <c r="O897" s="1278"/>
      <c r="P897" s="4"/>
    </row>
    <row r="898" spans="1:16">
      <c r="C898" s="430" t="s">
        <v>275</v>
      </c>
      <c r="D898" s="561">
        <v>2016</v>
      </c>
      <c r="E898" s="430" t="s">
        <v>276</v>
      </c>
      <c r="F898" s="67"/>
      <c r="I898" s="564">
        <f>IF(G891="",0,$F$15)</f>
        <v>0</v>
      </c>
      <c r="J898" s="432"/>
      <c r="K898" s="832" t="s">
        <v>459</v>
      </c>
      <c r="P898" s="4"/>
    </row>
    <row r="899" spans="1:16">
      <c r="C899" s="430" t="s">
        <v>277</v>
      </c>
      <c r="D899" s="843">
        <v>6</v>
      </c>
      <c r="E899" s="430" t="s">
        <v>278</v>
      </c>
      <c r="F899" s="67"/>
      <c r="I899" s="433">
        <f>$G$70</f>
        <v>0.1119061905251431</v>
      </c>
      <c r="J899" s="394"/>
      <c r="K899" t="str">
        <f>"          INPUT PROJECTED ARR (WITH &amp; WITHOUT INCENTIVES) FROM EACH PRIOR YEAR"</f>
        <v xml:space="preserve">          INPUT PROJECTED ARR (WITH &amp; WITHOUT INCENTIVES) FROM EACH PRIOR YEAR</v>
      </c>
      <c r="P899" s="4"/>
    </row>
    <row r="900" spans="1:16">
      <c r="C900" s="430" t="s">
        <v>279</v>
      </c>
      <c r="D900" s="434">
        <f>G$79</f>
        <v>39</v>
      </c>
      <c r="E900" s="430" t="s">
        <v>280</v>
      </c>
      <c r="F900" s="67"/>
      <c r="I900" s="433">
        <f>IF(G891="",I899,$G$67)</f>
        <v>0.1119061905251431</v>
      </c>
      <c r="J900" s="394"/>
      <c r="K900" t="s">
        <v>357</v>
      </c>
      <c r="P900" s="4"/>
    </row>
    <row r="901" spans="1:16" ht="13.5" thickBot="1">
      <c r="C901" s="430" t="s">
        <v>281</v>
      </c>
      <c r="D901" s="563" t="s">
        <v>931</v>
      </c>
      <c r="E901" s="435" t="s">
        <v>282</v>
      </c>
      <c r="F901" s="436"/>
      <c r="G901" s="437"/>
      <c r="H901" s="437"/>
      <c r="I901" s="841">
        <f>IF(D897=0,0,D897/D900)</f>
        <v>1616578.4864102565</v>
      </c>
      <c r="J901" s="832"/>
      <c r="K901" s="832" t="s">
        <v>363</v>
      </c>
      <c r="L901" s="832"/>
      <c r="M901" s="832"/>
      <c r="N901" s="832"/>
      <c r="O901" s="4"/>
      <c r="P901" s="4"/>
    </row>
    <row r="902" spans="1:16" ht="51">
      <c r="A902" s="322"/>
      <c r="B902" s="322"/>
      <c r="C902" s="438" t="s">
        <v>272</v>
      </c>
      <c r="D902" s="844" t="s">
        <v>283</v>
      </c>
      <c r="E902" s="845" t="s">
        <v>284</v>
      </c>
      <c r="F902" s="844" t="s">
        <v>285</v>
      </c>
      <c r="G902" s="845" t="s">
        <v>356</v>
      </c>
      <c r="H902" s="846" t="s">
        <v>356</v>
      </c>
      <c r="I902" s="438" t="s">
        <v>295</v>
      </c>
      <c r="J902" s="442"/>
      <c r="K902" s="845" t="s">
        <v>365</v>
      </c>
      <c r="L902" s="847"/>
      <c r="M902" s="845" t="s">
        <v>365</v>
      </c>
      <c r="N902" s="847"/>
      <c r="O902" s="847"/>
      <c r="P902" s="4"/>
    </row>
    <row r="903" spans="1:16" ht="13.5" thickBot="1">
      <c r="C903" s="444" t="s">
        <v>177</v>
      </c>
      <c r="D903" s="445" t="s">
        <v>178</v>
      </c>
      <c r="E903" s="444" t="s">
        <v>37</v>
      </c>
      <c r="F903" s="445" t="s">
        <v>178</v>
      </c>
      <c r="G903" s="848" t="s">
        <v>298</v>
      </c>
      <c r="H903" s="849" t="s">
        <v>300</v>
      </c>
      <c r="I903" s="444" t="s">
        <v>389</v>
      </c>
      <c r="J903" s="448"/>
      <c r="K903" s="848" t="s">
        <v>287</v>
      </c>
      <c r="L903" s="850"/>
      <c r="M903" s="848" t="s">
        <v>300</v>
      </c>
      <c r="N903" s="850"/>
      <c r="O903" s="850"/>
      <c r="P903" s="4"/>
    </row>
    <row r="904" spans="1:16">
      <c r="C904" s="449">
        <f>IF(D898= "","-",D898)</f>
        <v>2016</v>
      </c>
      <c r="D904" s="412">
        <f>+D897</f>
        <v>63046560.969999999</v>
      </c>
      <c r="E904" s="851">
        <f>+I901/12*(12-D899)</f>
        <v>808289.24320512824</v>
      </c>
      <c r="F904" s="412">
        <f t="shared" ref="F904:F963" si="59">+D904-E904</f>
        <v>62238271.726794869</v>
      </c>
      <c r="G904" s="852">
        <f>+$I$899*((D904+F904)/2)+E904</f>
        <v>7818363.4220442306</v>
      </c>
      <c r="H904" s="853">
        <f>+$I$900*((D904+F904)/2)+E904</f>
        <v>7818363.4220442306</v>
      </c>
      <c r="I904" s="453">
        <f t="shared" ref="I904:I963" si="60">+H904-G904</f>
        <v>0</v>
      </c>
      <c r="J904" s="453"/>
      <c r="K904" s="565">
        <v>5862811</v>
      </c>
      <c r="L904" s="455"/>
      <c r="M904" s="565">
        <v>5862811</v>
      </c>
      <c r="N904" s="455"/>
      <c r="O904" s="455"/>
      <c r="P904" s="4"/>
    </row>
    <row r="905" spans="1:16">
      <c r="C905" s="449">
        <f>IF(D898="","-",+C904+1)</f>
        <v>2017</v>
      </c>
      <c r="D905" s="412">
        <f t="shared" ref="D905:D963" si="61">F904</f>
        <v>62238271.726794869</v>
      </c>
      <c r="E905" s="456">
        <f>IF(D905&gt;$I$901,$I$901,D905)</f>
        <v>1616578.4864102565</v>
      </c>
      <c r="F905" s="412">
        <f t="shared" si="59"/>
        <v>60621693.240384609</v>
      </c>
      <c r="G905" s="851">
        <f t="shared" ref="G905:G963" si="62">+$I$899*((D905+F905)/2)+E905</f>
        <v>8490973.8101750538</v>
      </c>
      <c r="H905" s="854">
        <f t="shared" ref="H905:H963" si="63">+$I$900*((D905+F905)/2)+E905</f>
        <v>8490973.8101750538</v>
      </c>
      <c r="I905" s="453">
        <f t="shared" si="60"/>
        <v>0</v>
      </c>
      <c r="J905" s="453"/>
      <c r="K905" s="566">
        <v>3438786</v>
      </c>
      <c r="L905" s="459"/>
      <c r="M905" s="566">
        <v>3438786</v>
      </c>
      <c r="N905" s="459"/>
      <c r="O905" s="459"/>
      <c r="P905" s="4"/>
    </row>
    <row r="906" spans="1:16">
      <c r="C906" s="878">
        <f>IF(D898="","-",+C905+1)</f>
        <v>2018</v>
      </c>
      <c r="D906" s="856">
        <f t="shared" si="61"/>
        <v>60621693.240384609</v>
      </c>
      <c r="E906" s="857">
        <f t="shared" ref="E906:E963" si="64">IF(D906&gt;$I$901,$I$901,D906)</f>
        <v>1616578.4864102565</v>
      </c>
      <c r="F906" s="856">
        <f t="shared" si="59"/>
        <v>59005114.753974348</v>
      </c>
      <c r="G906" s="858">
        <f t="shared" si="62"/>
        <v>8310068.6700759791</v>
      </c>
      <c r="H906" s="859">
        <f t="shared" si="63"/>
        <v>8310068.6700759791</v>
      </c>
      <c r="I906" s="865">
        <f t="shared" si="60"/>
        <v>0</v>
      </c>
      <c r="J906" s="865"/>
      <c r="K906" s="566">
        <v>5966416</v>
      </c>
      <c r="L906" s="864"/>
      <c r="M906" s="566">
        <v>5966416</v>
      </c>
      <c r="N906" s="459"/>
      <c r="O906" s="459"/>
      <c r="P906" s="4"/>
    </row>
    <row r="907" spans="1:16">
      <c r="C907" s="449">
        <f>IF(D898="","-",+C906+1)</f>
        <v>2019</v>
      </c>
      <c r="D907" s="412">
        <f t="shared" si="61"/>
        <v>59005114.753974348</v>
      </c>
      <c r="E907" s="456">
        <f t="shared" si="64"/>
        <v>1616578.4864102565</v>
      </c>
      <c r="F907" s="412">
        <f t="shared" si="59"/>
        <v>57388536.267564088</v>
      </c>
      <c r="G907" s="851">
        <f t="shared" si="62"/>
        <v>8129163.5299769053</v>
      </c>
      <c r="H907" s="854">
        <f t="shared" si="63"/>
        <v>8129163.5299769053</v>
      </c>
      <c r="I907" s="453">
        <f t="shared" si="60"/>
        <v>0</v>
      </c>
      <c r="J907" s="453"/>
      <c r="K907" s="566">
        <v>5898940</v>
      </c>
      <c r="L907" s="459"/>
      <c r="M907" s="566">
        <v>5898940</v>
      </c>
      <c r="N907" s="459"/>
      <c r="O907" s="459"/>
      <c r="P907" s="4"/>
    </row>
    <row r="908" spans="1:16">
      <c r="C908" s="449">
        <f>IF(D898="","-",+C907+1)</f>
        <v>2020</v>
      </c>
      <c r="D908" s="412">
        <f t="shared" si="61"/>
        <v>57388536.267564088</v>
      </c>
      <c r="E908" s="456">
        <f t="shared" si="64"/>
        <v>1616578.4864102565</v>
      </c>
      <c r="F908" s="412">
        <f t="shared" si="59"/>
        <v>55771957.781153828</v>
      </c>
      <c r="G908" s="851">
        <f t="shared" si="62"/>
        <v>7948258.3898778306</v>
      </c>
      <c r="H908" s="854">
        <f t="shared" si="63"/>
        <v>7948258.3898778306</v>
      </c>
      <c r="I908" s="453">
        <f t="shared" si="60"/>
        <v>0</v>
      </c>
      <c r="J908" s="453"/>
      <c r="K908" s="566">
        <v>5887656.2604113696</v>
      </c>
      <c r="L908" s="459"/>
      <c r="M908" s="566">
        <v>5887656.2604113696</v>
      </c>
      <c r="N908" s="459"/>
      <c r="O908" s="459"/>
      <c r="P908" s="4"/>
    </row>
    <row r="909" spans="1:16">
      <c r="C909" s="449">
        <f>IF(D898="","-",+C908+1)</f>
        <v>2021</v>
      </c>
      <c r="D909" s="412">
        <f t="shared" si="61"/>
        <v>55771957.781153828</v>
      </c>
      <c r="E909" s="456">
        <f t="shared" si="64"/>
        <v>1616578.4864102565</v>
      </c>
      <c r="F909" s="412">
        <f t="shared" si="59"/>
        <v>54155379.294743568</v>
      </c>
      <c r="G909" s="851">
        <f t="shared" si="62"/>
        <v>7767353.2497787569</v>
      </c>
      <c r="H909" s="854">
        <f t="shared" si="63"/>
        <v>7767353.2497787569</v>
      </c>
      <c r="I909" s="453">
        <f t="shared" si="60"/>
        <v>0</v>
      </c>
      <c r="J909" s="453"/>
      <c r="K909" s="566">
        <v>5781910.5028277636</v>
      </c>
      <c r="L909" s="459"/>
      <c r="M909" s="566">
        <v>5781910.5028277636</v>
      </c>
      <c r="N909" s="459"/>
      <c r="O909" s="459"/>
      <c r="P909" s="4"/>
    </row>
    <row r="910" spans="1:16">
      <c r="C910" s="449">
        <f>IF(D901="","-",+C909+1)</f>
        <v>2022</v>
      </c>
      <c r="D910" s="412">
        <f t="shared" si="61"/>
        <v>54155379.294743568</v>
      </c>
      <c r="E910" s="456">
        <f t="shared" si="64"/>
        <v>1616578.4864102565</v>
      </c>
      <c r="F910" s="412">
        <f t="shared" si="59"/>
        <v>52538800.808333308</v>
      </c>
      <c r="G910" s="851">
        <f t="shared" si="62"/>
        <v>7586448.1096796831</v>
      </c>
      <c r="H910" s="854">
        <f t="shared" si="63"/>
        <v>7586448.1096796831</v>
      </c>
      <c r="I910" s="453">
        <f t="shared" si="60"/>
        <v>0</v>
      </c>
      <c r="J910" s="453"/>
      <c r="K910" s="566">
        <v>5625382.4201365365</v>
      </c>
      <c r="L910" s="459"/>
      <c r="M910" s="566">
        <v>5625382.4201365365</v>
      </c>
      <c r="N910" s="459"/>
      <c r="O910" s="459"/>
      <c r="P910" s="4"/>
    </row>
    <row r="911" spans="1:16">
      <c r="C911" s="449">
        <f>IF(D901="","-",+C910+1)</f>
        <v>2023</v>
      </c>
      <c r="D911" s="412">
        <f t="shared" si="61"/>
        <v>52538800.808333308</v>
      </c>
      <c r="E911" s="456">
        <f t="shared" si="64"/>
        <v>1616578.4864102565</v>
      </c>
      <c r="F911" s="412">
        <f t="shared" si="59"/>
        <v>50922222.321923047</v>
      </c>
      <c r="G911" s="851">
        <f t="shared" si="62"/>
        <v>7405542.9695806084</v>
      </c>
      <c r="H911" s="854">
        <f t="shared" si="63"/>
        <v>7405542.9695806084</v>
      </c>
      <c r="I911" s="453">
        <f t="shared" si="60"/>
        <v>0</v>
      </c>
      <c r="J911" s="453"/>
      <c r="K911" s="566">
        <v>6404780.0560494121</v>
      </c>
      <c r="L911" s="459"/>
      <c r="M911" s="566">
        <v>6404780.0560494121</v>
      </c>
      <c r="N911" s="459"/>
      <c r="O911" s="459"/>
      <c r="P911" s="4"/>
    </row>
    <row r="912" spans="1:16">
      <c r="C912" s="449">
        <f>IF(D898="","-",+C911+1)</f>
        <v>2024</v>
      </c>
      <c r="D912" s="412">
        <f t="shared" si="61"/>
        <v>50922222.321923047</v>
      </c>
      <c r="E912" s="456">
        <f t="shared" si="64"/>
        <v>1616578.4864102565</v>
      </c>
      <c r="F912" s="412">
        <f t="shared" si="59"/>
        <v>49305643.835512787</v>
      </c>
      <c r="G912" s="851">
        <f t="shared" si="62"/>
        <v>7224637.8294815347</v>
      </c>
      <c r="H912" s="854">
        <f t="shared" si="63"/>
        <v>7224637.8294815347</v>
      </c>
      <c r="I912" s="453">
        <f t="shared" si="60"/>
        <v>0</v>
      </c>
      <c r="J912" s="453"/>
      <c r="K912" s="566">
        <v>6472936.6002367577</v>
      </c>
      <c r="L912" s="459"/>
      <c r="M912" s="566">
        <v>6472936.6002367577</v>
      </c>
      <c r="N912" s="459"/>
      <c r="O912" s="459"/>
      <c r="P912" s="4"/>
    </row>
    <row r="913" spans="3:16">
      <c r="C913" s="449">
        <f>IF(D898="","-",+C912+1)</f>
        <v>2025</v>
      </c>
      <c r="D913" s="412">
        <f t="shared" si="61"/>
        <v>49305643.835512787</v>
      </c>
      <c r="E913" s="456">
        <f t="shared" si="64"/>
        <v>1616578.4864102565</v>
      </c>
      <c r="F913" s="412">
        <f t="shared" si="59"/>
        <v>47689065.349102527</v>
      </c>
      <c r="G913" s="851">
        <f t="shared" si="62"/>
        <v>7043732.6893824609</v>
      </c>
      <c r="H913" s="854">
        <f t="shared" si="63"/>
        <v>7043732.6893824609</v>
      </c>
      <c r="I913" s="453">
        <f t="shared" si="60"/>
        <v>0</v>
      </c>
      <c r="J913" s="453"/>
      <c r="K913" s="566">
        <v>6367989.6601763172</v>
      </c>
      <c r="L913" s="459"/>
      <c r="M913" s="566">
        <v>6367989.6601763172</v>
      </c>
      <c r="N913" s="459"/>
      <c r="O913" s="459"/>
      <c r="P913" s="4"/>
    </row>
    <row r="914" spans="3:16">
      <c r="C914" s="855">
        <f>IF(D898="","-",+C913+1)</f>
        <v>2026</v>
      </c>
      <c r="D914" s="412">
        <f t="shared" si="61"/>
        <v>47689065.349102527</v>
      </c>
      <c r="E914" s="456">
        <f t="shared" si="64"/>
        <v>1616578.4864102565</v>
      </c>
      <c r="F914" s="412">
        <f t="shared" si="59"/>
        <v>46072486.862692267</v>
      </c>
      <c r="G914" s="851">
        <f t="shared" si="62"/>
        <v>6862827.5492833871</v>
      </c>
      <c r="H914" s="854">
        <f t="shared" si="63"/>
        <v>6862827.5492833871</v>
      </c>
      <c r="I914" s="453">
        <f t="shared" si="60"/>
        <v>0</v>
      </c>
      <c r="J914" s="453"/>
      <c r="K914" s="566"/>
      <c r="L914" s="459"/>
      <c r="M914" s="566"/>
      <c r="N914" s="459"/>
      <c r="O914" s="459"/>
      <c r="P914" s="4"/>
    </row>
    <row r="915" spans="3:16">
      <c r="C915" s="449">
        <f>IF(D898="","-",+C914+1)</f>
        <v>2027</v>
      </c>
      <c r="D915" s="412">
        <f t="shared" si="61"/>
        <v>46072486.862692267</v>
      </c>
      <c r="E915" s="456">
        <f t="shared" si="64"/>
        <v>1616578.4864102565</v>
      </c>
      <c r="F915" s="412">
        <f t="shared" si="59"/>
        <v>44455908.376282007</v>
      </c>
      <c r="G915" s="851">
        <f t="shared" si="62"/>
        <v>6681922.4091843124</v>
      </c>
      <c r="H915" s="854">
        <f t="shared" si="63"/>
        <v>6681922.4091843124</v>
      </c>
      <c r="I915" s="453">
        <f t="shared" si="60"/>
        <v>0</v>
      </c>
      <c r="J915" s="453"/>
      <c r="K915" s="566"/>
      <c r="L915" s="459"/>
      <c r="M915" s="566"/>
      <c r="N915" s="459"/>
      <c r="O915" s="459"/>
      <c r="P915" s="4"/>
    </row>
    <row r="916" spans="3:16">
      <c r="C916" s="449">
        <f>IF(D898="","-",+C915+1)</f>
        <v>2028</v>
      </c>
      <c r="D916" s="412">
        <f t="shared" si="61"/>
        <v>44455908.376282007</v>
      </c>
      <c r="E916" s="456">
        <f t="shared" si="64"/>
        <v>1616578.4864102565</v>
      </c>
      <c r="F916" s="412">
        <f t="shared" si="59"/>
        <v>42839329.889871746</v>
      </c>
      <c r="G916" s="851">
        <f t="shared" si="62"/>
        <v>6501017.2690852387</v>
      </c>
      <c r="H916" s="854">
        <f t="shared" si="63"/>
        <v>6501017.2690852387</v>
      </c>
      <c r="I916" s="453">
        <f t="shared" si="60"/>
        <v>0</v>
      </c>
      <c r="J916" s="453"/>
      <c r="K916" s="566"/>
      <c r="L916" s="459"/>
      <c r="M916" s="566"/>
      <c r="N916" s="460"/>
      <c r="O916" s="459"/>
      <c r="P916" s="4"/>
    </row>
    <row r="917" spans="3:16">
      <c r="C917" s="449">
        <f>IF(D898="","-",+C916+1)</f>
        <v>2029</v>
      </c>
      <c r="D917" s="412">
        <f t="shared" si="61"/>
        <v>42839329.889871746</v>
      </c>
      <c r="E917" s="456">
        <f t="shared" si="64"/>
        <v>1616578.4864102565</v>
      </c>
      <c r="F917" s="412">
        <f t="shared" si="59"/>
        <v>41222751.403461486</v>
      </c>
      <c r="G917" s="851">
        <f t="shared" si="62"/>
        <v>6320112.1289861649</v>
      </c>
      <c r="H917" s="854">
        <f t="shared" si="63"/>
        <v>6320112.1289861649</v>
      </c>
      <c r="I917" s="453">
        <f t="shared" si="60"/>
        <v>0</v>
      </c>
      <c r="J917" s="453"/>
      <c r="K917" s="566"/>
      <c r="L917" s="459"/>
      <c r="M917" s="566"/>
      <c r="N917" s="459"/>
      <c r="O917" s="459"/>
      <c r="P917" s="4"/>
    </row>
    <row r="918" spans="3:16">
      <c r="C918" s="449">
        <f>IF(D898="","-",+C917+1)</f>
        <v>2030</v>
      </c>
      <c r="D918" s="412">
        <f t="shared" si="61"/>
        <v>41222751.403461486</v>
      </c>
      <c r="E918" s="456">
        <f t="shared" si="64"/>
        <v>1616578.4864102565</v>
      </c>
      <c r="F918" s="412">
        <f t="shared" si="59"/>
        <v>39606172.917051226</v>
      </c>
      <c r="G918" s="851">
        <f t="shared" si="62"/>
        <v>6139206.9888870902</v>
      </c>
      <c r="H918" s="854">
        <f t="shared" si="63"/>
        <v>6139206.9888870902</v>
      </c>
      <c r="I918" s="453">
        <f t="shared" si="60"/>
        <v>0</v>
      </c>
      <c r="J918" s="453"/>
      <c r="K918" s="566"/>
      <c r="L918" s="459"/>
      <c r="M918" s="566"/>
      <c r="N918" s="459"/>
      <c r="O918" s="459"/>
      <c r="P918" s="4"/>
    </row>
    <row r="919" spans="3:16">
      <c r="C919" s="449">
        <f>IF(D898="","-",+C918+1)</f>
        <v>2031</v>
      </c>
      <c r="D919" s="412">
        <f t="shared" si="61"/>
        <v>39606172.917051226</v>
      </c>
      <c r="E919" s="456">
        <f t="shared" si="64"/>
        <v>1616578.4864102565</v>
      </c>
      <c r="F919" s="412">
        <f t="shared" si="59"/>
        <v>37989594.430640966</v>
      </c>
      <c r="G919" s="851">
        <f t="shared" si="62"/>
        <v>5958301.8487880165</v>
      </c>
      <c r="H919" s="854">
        <f t="shared" si="63"/>
        <v>5958301.8487880165</v>
      </c>
      <c r="I919" s="453">
        <f t="shared" si="60"/>
        <v>0</v>
      </c>
      <c r="J919" s="453"/>
      <c r="K919" s="566"/>
      <c r="L919" s="459"/>
      <c r="M919" s="566"/>
      <c r="N919" s="459"/>
      <c r="O919" s="459"/>
      <c r="P919" s="4"/>
    </row>
    <row r="920" spans="3:16">
      <c r="C920" s="449">
        <f>IF(D898="","-",+C919+1)</f>
        <v>2032</v>
      </c>
      <c r="D920" s="412">
        <f t="shared" si="61"/>
        <v>37989594.430640966</v>
      </c>
      <c r="E920" s="456">
        <f t="shared" si="64"/>
        <v>1616578.4864102565</v>
      </c>
      <c r="F920" s="412">
        <f t="shared" si="59"/>
        <v>36373015.944230705</v>
      </c>
      <c r="G920" s="851">
        <f t="shared" si="62"/>
        <v>5777396.7086889427</v>
      </c>
      <c r="H920" s="854">
        <f t="shared" si="63"/>
        <v>5777396.7086889427</v>
      </c>
      <c r="I920" s="453">
        <f t="shared" si="60"/>
        <v>0</v>
      </c>
      <c r="J920" s="453"/>
      <c r="K920" s="566"/>
      <c r="L920" s="459"/>
      <c r="M920" s="566"/>
      <c r="N920" s="459"/>
      <c r="O920" s="459"/>
      <c r="P920" s="4"/>
    </row>
    <row r="921" spans="3:16">
      <c r="C921" s="449">
        <f>IF(D898="","-",+C920+1)</f>
        <v>2033</v>
      </c>
      <c r="D921" s="412">
        <f t="shared" si="61"/>
        <v>36373015.944230705</v>
      </c>
      <c r="E921" s="456">
        <f t="shared" si="64"/>
        <v>1616578.4864102565</v>
      </c>
      <c r="F921" s="412">
        <f t="shared" si="59"/>
        <v>34756437.457820445</v>
      </c>
      <c r="G921" s="851">
        <f t="shared" si="62"/>
        <v>5596491.568589868</v>
      </c>
      <c r="H921" s="854">
        <f t="shared" si="63"/>
        <v>5596491.568589868</v>
      </c>
      <c r="I921" s="453">
        <f t="shared" si="60"/>
        <v>0</v>
      </c>
      <c r="J921" s="453"/>
      <c r="K921" s="566"/>
      <c r="L921" s="459"/>
      <c r="M921" s="566"/>
      <c r="N921" s="459"/>
      <c r="O921" s="459"/>
      <c r="P921" s="4"/>
    </row>
    <row r="922" spans="3:16">
      <c r="C922" s="449">
        <f>IF(D898="","-",+C921+1)</f>
        <v>2034</v>
      </c>
      <c r="D922" s="412">
        <f t="shared" si="61"/>
        <v>34756437.457820445</v>
      </c>
      <c r="E922" s="456">
        <f t="shared" si="64"/>
        <v>1616578.4864102565</v>
      </c>
      <c r="F922" s="412">
        <f t="shared" si="59"/>
        <v>33139858.971410189</v>
      </c>
      <c r="G922" s="851">
        <f t="shared" si="62"/>
        <v>5415586.4284907943</v>
      </c>
      <c r="H922" s="854">
        <f t="shared" si="63"/>
        <v>5415586.4284907943</v>
      </c>
      <c r="I922" s="453">
        <f t="shared" si="60"/>
        <v>0</v>
      </c>
      <c r="J922" s="453"/>
      <c r="K922" s="566"/>
      <c r="L922" s="459"/>
      <c r="M922" s="566"/>
      <c r="N922" s="459"/>
      <c r="O922" s="459"/>
      <c r="P922" s="4"/>
    </row>
    <row r="923" spans="3:16">
      <c r="C923" s="449">
        <f>IF(D898="","-",+C922+1)</f>
        <v>2035</v>
      </c>
      <c r="D923" s="412">
        <f t="shared" si="61"/>
        <v>33139858.971410189</v>
      </c>
      <c r="E923" s="456">
        <f t="shared" si="64"/>
        <v>1616578.4864102565</v>
      </c>
      <c r="F923" s="412">
        <f t="shared" si="59"/>
        <v>31523280.484999932</v>
      </c>
      <c r="G923" s="851">
        <f t="shared" si="62"/>
        <v>5234681.2883917214</v>
      </c>
      <c r="H923" s="854">
        <f t="shared" si="63"/>
        <v>5234681.2883917214</v>
      </c>
      <c r="I923" s="453">
        <f t="shared" si="60"/>
        <v>0</v>
      </c>
      <c r="J923" s="453"/>
      <c r="K923" s="566"/>
      <c r="L923" s="459"/>
      <c r="M923" s="566"/>
      <c r="N923" s="459"/>
      <c r="O923" s="459"/>
      <c r="P923" s="4"/>
    </row>
    <row r="924" spans="3:16">
      <c r="C924" s="449">
        <f>IF(D898="","-",+C923+1)</f>
        <v>2036</v>
      </c>
      <c r="D924" s="412">
        <f t="shared" si="61"/>
        <v>31523280.484999932</v>
      </c>
      <c r="E924" s="456">
        <f t="shared" si="64"/>
        <v>1616578.4864102565</v>
      </c>
      <c r="F924" s="412">
        <f t="shared" si="59"/>
        <v>29906701.998589676</v>
      </c>
      <c r="G924" s="851">
        <f t="shared" si="62"/>
        <v>5053776.1482926477</v>
      </c>
      <c r="H924" s="854">
        <f t="shared" si="63"/>
        <v>5053776.1482926477</v>
      </c>
      <c r="I924" s="453">
        <f t="shared" si="60"/>
        <v>0</v>
      </c>
      <c r="J924" s="453"/>
      <c r="K924" s="566"/>
      <c r="L924" s="459"/>
      <c r="M924" s="566"/>
      <c r="N924" s="459"/>
      <c r="O924" s="459"/>
      <c r="P924" s="4"/>
    </row>
    <row r="925" spans="3:16">
      <c r="C925" s="449">
        <f>IF(D898="","-",+C924+1)</f>
        <v>2037</v>
      </c>
      <c r="D925" s="412">
        <f t="shared" si="61"/>
        <v>29906701.998589676</v>
      </c>
      <c r="E925" s="456">
        <f t="shared" si="64"/>
        <v>1616578.4864102565</v>
      </c>
      <c r="F925" s="412">
        <f t="shared" si="59"/>
        <v>28290123.512179419</v>
      </c>
      <c r="G925" s="851">
        <f t="shared" si="62"/>
        <v>4872871.0081935739</v>
      </c>
      <c r="H925" s="854">
        <f t="shared" si="63"/>
        <v>4872871.0081935739</v>
      </c>
      <c r="I925" s="453">
        <f t="shared" si="60"/>
        <v>0</v>
      </c>
      <c r="J925" s="453"/>
      <c r="K925" s="566"/>
      <c r="L925" s="459"/>
      <c r="M925" s="566"/>
      <c r="N925" s="459"/>
      <c r="O925" s="459"/>
      <c r="P925" s="4"/>
    </row>
    <row r="926" spans="3:16">
      <c r="C926" s="449">
        <f>IF(D898="","-",+C925+1)</f>
        <v>2038</v>
      </c>
      <c r="D926" s="412">
        <f t="shared" si="61"/>
        <v>28290123.512179419</v>
      </c>
      <c r="E926" s="456">
        <f t="shared" si="64"/>
        <v>1616578.4864102565</v>
      </c>
      <c r="F926" s="412">
        <f t="shared" si="59"/>
        <v>26673545.025769163</v>
      </c>
      <c r="G926" s="851">
        <f t="shared" si="62"/>
        <v>4691965.8680945002</v>
      </c>
      <c r="H926" s="854">
        <f t="shared" si="63"/>
        <v>4691965.8680945002</v>
      </c>
      <c r="I926" s="453">
        <f t="shared" si="60"/>
        <v>0</v>
      </c>
      <c r="J926" s="453"/>
      <c r="K926" s="566"/>
      <c r="L926" s="459"/>
      <c r="M926" s="566"/>
      <c r="N926" s="459"/>
      <c r="O926" s="459"/>
      <c r="P926" s="4"/>
    </row>
    <row r="927" spans="3:16">
      <c r="C927" s="449">
        <f>IF(D898="","-",+C926+1)</f>
        <v>2039</v>
      </c>
      <c r="D927" s="412">
        <f t="shared" si="61"/>
        <v>26673545.025769163</v>
      </c>
      <c r="E927" s="456">
        <f t="shared" si="64"/>
        <v>1616578.4864102565</v>
      </c>
      <c r="F927" s="412">
        <f t="shared" si="59"/>
        <v>25056966.539358906</v>
      </c>
      <c r="G927" s="851">
        <f t="shared" si="62"/>
        <v>4511060.7279954273</v>
      </c>
      <c r="H927" s="854">
        <f t="shared" si="63"/>
        <v>4511060.7279954273</v>
      </c>
      <c r="I927" s="453">
        <f t="shared" si="60"/>
        <v>0</v>
      </c>
      <c r="J927" s="453"/>
      <c r="K927" s="566"/>
      <c r="L927" s="459"/>
      <c r="M927" s="566"/>
      <c r="N927" s="459"/>
      <c r="O927" s="459"/>
      <c r="P927" s="4"/>
    </row>
    <row r="928" spans="3:16">
      <c r="C928" s="449">
        <f>IF(D898="","-",+C927+1)</f>
        <v>2040</v>
      </c>
      <c r="D928" s="412">
        <f t="shared" si="61"/>
        <v>25056966.539358906</v>
      </c>
      <c r="E928" s="456">
        <f t="shared" si="64"/>
        <v>1616578.4864102565</v>
      </c>
      <c r="F928" s="412">
        <f t="shared" si="59"/>
        <v>23440388.05294865</v>
      </c>
      <c r="G928" s="851">
        <f t="shared" si="62"/>
        <v>4330155.5878963526</v>
      </c>
      <c r="H928" s="854">
        <f t="shared" si="63"/>
        <v>4330155.5878963526</v>
      </c>
      <c r="I928" s="453">
        <f t="shared" si="60"/>
        <v>0</v>
      </c>
      <c r="J928" s="453"/>
      <c r="K928" s="566"/>
      <c r="L928" s="459"/>
      <c r="M928" s="566"/>
      <c r="N928" s="459"/>
      <c r="O928" s="459"/>
      <c r="P928" s="4"/>
    </row>
    <row r="929" spans="3:16">
      <c r="C929" s="449">
        <f>IF(D898="","-",+C928+1)</f>
        <v>2041</v>
      </c>
      <c r="D929" s="412">
        <f t="shared" si="61"/>
        <v>23440388.05294865</v>
      </c>
      <c r="E929" s="456">
        <f t="shared" si="64"/>
        <v>1616578.4864102565</v>
      </c>
      <c r="F929" s="412">
        <f t="shared" si="59"/>
        <v>21823809.566538393</v>
      </c>
      <c r="G929" s="851">
        <f t="shared" si="62"/>
        <v>4149250.4477972793</v>
      </c>
      <c r="H929" s="854">
        <f t="shared" si="63"/>
        <v>4149250.4477972793</v>
      </c>
      <c r="I929" s="453">
        <f t="shared" si="60"/>
        <v>0</v>
      </c>
      <c r="J929" s="453"/>
      <c r="K929" s="566"/>
      <c r="L929" s="459"/>
      <c r="M929" s="566"/>
      <c r="N929" s="459"/>
      <c r="O929" s="459"/>
      <c r="P929" s="4"/>
    </row>
    <row r="930" spans="3:16">
      <c r="C930" s="449">
        <f>IF(D898="","-",+C929+1)</f>
        <v>2042</v>
      </c>
      <c r="D930" s="412">
        <f t="shared" si="61"/>
        <v>21823809.566538393</v>
      </c>
      <c r="E930" s="456">
        <f t="shared" si="64"/>
        <v>1616578.4864102565</v>
      </c>
      <c r="F930" s="412">
        <f t="shared" si="59"/>
        <v>20207231.080128137</v>
      </c>
      <c r="G930" s="851">
        <f t="shared" si="62"/>
        <v>3968345.3076982056</v>
      </c>
      <c r="H930" s="854">
        <f t="shared" si="63"/>
        <v>3968345.3076982056</v>
      </c>
      <c r="I930" s="453">
        <f t="shared" si="60"/>
        <v>0</v>
      </c>
      <c r="J930" s="453"/>
      <c r="K930" s="566"/>
      <c r="L930" s="459"/>
      <c r="M930" s="566"/>
      <c r="N930" s="459"/>
      <c r="O930" s="459"/>
      <c r="P930" s="4"/>
    </row>
    <row r="931" spans="3:16">
      <c r="C931" s="449">
        <f>IF(D898="","-",+C930+1)</f>
        <v>2043</v>
      </c>
      <c r="D931" s="412">
        <f t="shared" si="61"/>
        <v>20207231.080128137</v>
      </c>
      <c r="E931" s="456">
        <f t="shared" si="64"/>
        <v>1616578.4864102565</v>
      </c>
      <c r="F931" s="412">
        <f t="shared" si="59"/>
        <v>18590652.593717881</v>
      </c>
      <c r="G931" s="851">
        <f t="shared" si="62"/>
        <v>3787440.1675991323</v>
      </c>
      <c r="H931" s="854">
        <f t="shared" si="63"/>
        <v>3787440.1675991323</v>
      </c>
      <c r="I931" s="453">
        <f t="shared" si="60"/>
        <v>0</v>
      </c>
      <c r="J931" s="453"/>
      <c r="K931" s="566"/>
      <c r="L931" s="459"/>
      <c r="M931" s="566"/>
      <c r="N931" s="459"/>
      <c r="O931" s="459"/>
      <c r="P931" s="4"/>
    </row>
    <row r="932" spans="3:16">
      <c r="C932" s="449">
        <f>IF(D898="","-",+C931+1)</f>
        <v>2044</v>
      </c>
      <c r="D932" s="412">
        <f t="shared" si="61"/>
        <v>18590652.593717881</v>
      </c>
      <c r="E932" s="456">
        <f t="shared" si="64"/>
        <v>1616578.4864102565</v>
      </c>
      <c r="F932" s="412">
        <f t="shared" si="59"/>
        <v>16974074.107307624</v>
      </c>
      <c r="G932" s="860">
        <f t="shared" si="62"/>
        <v>3606535.0275000585</v>
      </c>
      <c r="H932" s="854">
        <f t="shared" si="63"/>
        <v>3606535.0275000585</v>
      </c>
      <c r="I932" s="453">
        <f t="shared" si="60"/>
        <v>0</v>
      </c>
      <c r="J932" s="453"/>
      <c r="K932" s="566"/>
      <c r="L932" s="459"/>
      <c r="M932" s="566"/>
      <c r="N932" s="459"/>
      <c r="O932" s="459"/>
      <c r="P932" s="4"/>
    </row>
    <row r="933" spans="3:16">
      <c r="C933" s="449">
        <f>IF(D898="","-",+C932+1)</f>
        <v>2045</v>
      </c>
      <c r="D933" s="412">
        <f t="shared" si="61"/>
        <v>16974074.107307624</v>
      </c>
      <c r="E933" s="456">
        <f t="shared" si="64"/>
        <v>1616578.4864102565</v>
      </c>
      <c r="F933" s="412">
        <f t="shared" si="59"/>
        <v>15357495.620897368</v>
      </c>
      <c r="G933" s="851">
        <f t="shared" si="62"/>
        <v>3425629.8874009848</v>
      </c>
      <c r="H933" s="854">
        <f t="shared" si="63"/>
        <v>3425629.8874009848</v>
      </c>
      <c r="I933" s="453">
        <f t="shared" si="60"/>
        <v>0</v>
      </c>
      <c r="J933" s="453"/>
      <c r="K933" s="566"/>
      <c r="L933" s="459"/>
      <c r="M933" s="566"/>
      <c r="N933" s="459"/>
      <c r="O933" s="459"/>
      <c r="P933" s="4"/>
    </row>
    <row r="934" spans="3:16">
      <c r="C934" s="449">
        <f>IF(D898="","-",+C933+1)</f>
        <v>2046</v>
      </c>
      <c r="D934" s="412">
        <f t="shared" si="61"/>
        <v>15357495.620897368</v>
      </c>
      <c r="E934" s="456">
        <f t="shared" si="64"/>
        <v>1616578.4864102565</v>
      </c>
      <c r="F934" s="412">
        <f t="shared" si="59"/>
        <v>13740917.134487111</v>
      </c>
      <c r="G934" s="851">
        <f t="shared" si="62"/>
        <v>3244724.747301911</v>
      </c>
      <c r="H934" s="854">
        <f t="shared" si="63"/>
        <v>3244724.747301911</v>
      </c>
      <c r="I934" s="453">
        <f t="shared" si="60"/>
        <v>0</v>
      </c>
      <c r="J934" s="453"/>
      <c r="K934" s="566"/>
      <c r="L934" s="459"/>
      <c r="M934" s="566"/>
      <c r="N934" s="459"/>
      <c r="O934" s="459"/>
      <c r="P934" s="4"/>
    </row>
    <row r="935" spans="3:16">
      <c r="C935" s="449">
        <f>IF(D898="","-",+C934+1)</f>
        <v>2047</v>
      </c>
      <c r="D935" s="412">
        <f t="shared" si="61"/>
        <v>13740917.134487111</v>
      </c>
      <c r="E935" s="456">
        <f t="shared" si="64"/>
        <v>1616578.4864102565</v>
      </c>
      <c r="F935" s="412">
        <f t="shared" si="59"/>
        <v>12124338.648076855</v>
      </c>
      <c r="G935" s="851">
        <f t="shared" si="62"/>
        <v>3063819.6072028377</v>
      </c>
      <c r="H935" s="854">
        <f t="shared" si="63"/>
        <v>3063819.6072028377</v>
      </c>
      <c r="I935" s="453">
        <f t="shared" si="60"/>
        <v>0</v>
      </c>
      <c r="J935" s="453"/>
      <c r="K935" s="566"/>
      <c r="L935" s="459"/>
      <c r="M935" s="566"/>
      <c r="N935" s="459"/>
      <c r="O935" s="459"/>
      <c r="P935" s="4"/>
    </row>
    <row r="936" spans="3:16">
      <c r="C936" s="449">
        <f>IF(D898="","-",+C935+1)</f>
        <v>2048</v>
      </c>
      <c r="D936" s="412">
        <f t="shared" si="61"/>
        <v>12124338.648076855</v>
      </c>
      <c r="E936" s="456">
        <f t="shared" si="64"/>
        <v>1616578.4864102565</v>
      </c>
      <c r="F936" s="412">
        <f t="shared" si="59"/>
        <v>10507760.161666598</v>
      </c>
      <c r="G936" s="851">
        <f t="shared" si="62"/>
        <v>2882914.4671037639</v>
      </c>
      <c r="H936" s="854">
        <f t="shared" si="63"/>
        <v>2882914.4671037639</v>
      </c>
      <c r="I936" s="453">
        <f t="shared" si="60"/>
        <v>0</v>
      </c>
      <c r="J936" s="453"/>
      <c r="K936" s="566"/>
      <c r="L936" s="459"/>
      <c r="M936" s="566"/>
      <c r="N936" s="459"/>
      <c r="O936" s="459"/>
      <c r="P936" s="4"/>
    </row>
    <row r="937" spans="3:16">
      <c r="C937" s="449">
        <f>IF(D898="","-",+C936+1)</f>
        <v>2049</v>
      </c>
      <c r="D937" s="412">
        <f t="shared" si="61"/>
        <v>10507760.161666598</v>
      </c>
      <c r="E937" s="456">
        <f t="shared" si="64"/>
        <v>1616578.4864102565</v>
      </c>
      <c r="F937" s="412">
        <f t="shared" si="59"/>
        <v>8891181.6752563417</v>
      </c>
      <c r="G937" s="851">
        <f t="shared" si="62"/>
        <v>2702009.3270046907</v>
      </c>
      <c r="H937" s="854">
        <f t="shared" si="63"/>
        <v>2702009.3270046907</v>
      </c>
      <c r="I937" s="453">
        <f t="shared" si="60"/>
        <v>0</v>
      </c>
      <c r="J937" s="453"/>
      <c r="K937" s="566"/>
      <c r="L937" s="459"/>
      <c r="M937" s="566"/>
      <c r="N937" s="459"/>
      <c r="O937" s="459"/>
      <c r="P937" s="4"/>
    </row>
    <row r="938" spans="3:16">
      <c r="C938" s="449">
        <f>IF(D898="","-",+C937+1)</f>
        <v>2050</v>
      </c>
      <c r="D938" s="412">
        <f t="shared" si="61"/>
        <v>8891181.6752563417</v>
      </c>
      <c r="E938" s="456">
        <f t="shared" si="64"/>
        <v>1616578.4864102565</v>
      </c>
      <c r="F938" s="412">
        <f t="shared" si="59"/>
        <v>7274603.1888460852</v>
      </c>
      <c r="G938" s="851">
        <f t="shared" si="62"/>
        <v>2521104.1869056169</v>
      </c>
      <c r="H938" s="854">
        <f t="shared" si="63"/>
        <v>2521104.1869056169</v>
      </c>
      <c r="I938" s="453">
        <f t="shared" si="60"/>
        <v>0</v>
      </c>
      <c r="J938" s="453"/>
      <c r="K938" s="566"/>
      <c r="L938" s="459"/>
      <c r="M938" s="566"/>
      <c r="N938" s="459"/>
      <c r="O938" s="459"/>
      <c r="P938" s="4"/>
    </row>
    <row r="939" spans="3:16">
      <c r="C939" s="449">
        <f>IF(D898="","-",+C938+1)</f>
        <v>2051</v>
      </c>
      <c r="D939" s="412">
        <f t="shared" si="61"/>
        <v>7274603.1888460852</v>
      </c>
      <c r="E939" s="456">
        <f t="shared" si="64"/>
        <v>1616578.4864102565</v>
      </c>
      <c r="F939" s="412">
        <f t="shared" si="59"/>
        <v>5658024.7024358287</v>
      </c>
      <c r="G939" s="851">
        <f t="shared" si="62"/>
        <v>2340199.0468065431</v>
      </c>
      <c r="H939" s="854">
        <f t="shared" si="63"/>
        <v>2340199.0468065431</v>
      </c>
      <c r="I939" s="453">
        <f t="shared" si="60"/>
        <v>0</v>
      </c>
      <c r="J939" s="453"/>
      <c r="K939" s="566"/>
      <c r="L939" s="459"/>
      <c r="M939" s="566"/>
      <c r="N939" s="459"/>
      <c r="O939" s="459"/>
      <c r="P939" s="4"/>
    </row>
    <row r="940" spans="3:16">
      <c r="C940" s="449">
        <f>IF(D898="","-",+C939+1)</f>
        <v>2052</v>
      </c>
      <c r="D940" s="412">
        <f t="shared" si="61"/>
        <v>5658024.7024358287</v>
      </c>
      <c r="E940" s="456">
        <f t="shared" si="64"/>
        <v>1616578.4864102565</v>
      </c>
      <c r="F940" s="412">
        <f t="shared" si="59"/>
        <v>4041446.2160255723</v>
      </c>
      <c r="G940" s="851">
        <f t="shared" si="62"/>
        <v>2159293.9067074694</v>
      </c>
      <c r="H940" s="854">
        <f t="shared" si="63"/>
        <v>2159293.9067074694</v>
      </c>
      <c r="I940" s="453">
        <f t="shared" si="60"/>
        <v>0</v>
      </c>
      <c r="J940" s="453"/>
      <c r="K940" s="566"/>
      <c r="L940" s="459"/>
      <c r="M940" s="566"/>
      <c r="N940" s="459"/>
      <c r="O940" s="459"/>
      <c r="P940" s="4"/>
    </row>
    <row r="941" spans="3:16">
      <c r="C941" s="449">
        <f>IF(D898="","-",+C940+1)</f>
        <v>2053</v>
      </c>
      <c r="D941" s="412">
        <f t="shared" si="61"/>
        <v>4041446.2160255723</v>
      </c>
      <c r="E941" s="456">
        <f t="shared" si="64"/>
        <v>1616578.4864102565</v>
      </c>
      <c r="F941" s="412">
        <f t="shared" si="59"/>
        <v>2424867.7296153158</v>
      </c>
      <c r="G941" s="851">
        <f t="shared" si="62"/>
        <v>1978388.7666083961</v>
      </c>
      <c r="H941" s="854">
        <f t="shared" si="63"/>
        <v>1978388.7666083961</v>
      </c>
      <c r="I941" s="453">
        <f t="shared" si="60"/>
        <v>0</v>
      </c>
      <c r="J941" s="453"/>
      <c r="K941" s="566"/>
      <c r="L941" s="459"/>
      <c r="M941" s="566"/>
      <c r="N941" s="459"/>
      <c r="O941" s="459"/>
      <c r="P941" s="4"/>
    </row>
    <row r="942" spans="3:16">
      <c r="C942" s="449">
        <f>IF(D898="","-",+C941+1)</f>
        <v>2054</v>
      </c>
      <c r="D942" s="412">
        <f t="shared" si="61"/>
        <v>2424867.7296153158</v>
      </c>
      <c r="E942" s="456">
        <f t="shared" si="64"/>
        <v>1616578.4864102565</v>
      </c>
      <c r="F942" s="412">
        <f t="shared" si="59"/>
        <v>808289.24320505932</v>
      </c>
      <c r="G942" s="851">
        <f t="shared" si="62"/>
        <v>1797483.6265093223</v>
      </c>
      <c r="H942" s="854">
        <f t="shared" si="63"/>
        <v>1797483.6265093223</v>
      </c>
      <c r="I942" s="453">
        <f t="shared" si="60"/>
        <v>0</v>
      </c>
      <c r="J942" s="453"/>
      <c r="K942" s="566"/>
      <c r="L942" s="459"/>
      <c r="M942" s="566"/>
      <c r="N942" s="459"/>
      <c r="O942" s="459"/>
      <c r="P942" s="4"/>
    </row>
    <row r="943" spans="3:16">
      <c r="C943" s="449">
        <f>IF(D898="","-",+C942+1)</f>
        <v>2055</v>
      </c>
      <c r="D943" s="412">
        <f t="shared" si="61"/>
        <v>808289.24320505932</v>
      </c>
      <c r="E943" s="456">
        <f t="shared" si="64"/>
        <v>808289.24320505932</v>
      </c>
      <c r="F943" s="412">
        <f t="shared" si="59"/>
        <v>0</v>
      </c>
      <c r="G943" s="851">
        <f t="shared" si="62"/>
        <v>853515.52822982392</v>
      </c>
      <c r="H943" s="854">
        <f t="shared" si="63"/>
        <v>853515.52822982392</v>
      </c>
      <c r="I943" s="453">
        <f t="shared" si="60"/>
        <v>0</v>
      </c>
      <c r="J943" s="453"/>
      <c r="K943" s="566"/>
      <c r="L943" s="459"/>
      <c r="M943" s="566"/>
      <c r="N943" s="459"/>
      <c r="O943" s="459"/>
      <c r="P943" s="4"/>
    </row>
    <row r="944" spans="3:16">
      <c r="C944" s="449">
        <f>IF(D898="","-",+C943+1)</f>
        <v>2056</v>
      </c>
      <c r="D944" s="412">
        <f t="shared" si="61"/>
        <v>0</v>
      </c>
      <c r="E944" s="456">
        <f t="shared" si="64"/>
        <v>0</v>
      </c>
      <c r="F944" s="412">
        <f t="shared" si="59"/>
        <v>0</v>
      </c>
      <c r="G944" s="851">
        <f t="shared" si="62"/>
        <v>0</v>
      </c>
      <c r="H944" s="854">
        <f t="shared" si="63"/>
        <v>0</v>
      </c>
      <c r="I944" s="453">
        <f t="shared" si="60"/>
        <v>0</v>
      </c>
      <c r="J944" s="453"/>
      <c r="K944" s="566"/>
      <c r="L944" s="459"/>
      <c r="M944" s="566"/>
      <c r="N944" s="459"/>
      <c r="O944" s="459"/>
      <c r="P944" s="4"/>
    </row>
    <row r="945" spans="3:16">
      <c r="C945" s="449">
        <f>IF(D898="","-",+C944+1)</f>
        <v>2057</v>
      </c>
      <c r="D945" s="412">
        <f t="shared" si="61"/>
        <v>0</v>
      </c>
      <c r="E945" s="456">
        <f t="shared" si="64"/>
        <v>0</v>
      </c>
      <c r="F945" s="412">
        <f t="shared" si="59"/>
        <v>0</v>
      </c>
      <c r="G945" s="851">
        <f t="shared" si="62"/>
        <v>0</v>
      </c>
      <c r="H945" s="854">
        <f t="shared" si="63"/>
        <v>0</v>
      </c>
      <c r="I945" s="453">
        <f t="shared" si="60"/>
        <v>0</v>
      </c>
      <c r="J945" s="453"/>
      <c r="K945" s="566"/>
      <c r="L945" s="459"/>
      <c r="M945" s="566"/>
      <c r="N945" s="459"/>
      <c r="O945" s="459"/>
      <c r="P945" s="4"/>
    </row>
    <row r="946" spans="3:16">
      <c r="C946" s="449">
        <f>IF(D898="","-",+C945+1)</f>
        <v>2058</v>
      </c>
      <c r="D946" s="412">
        <f t="shared" si="61"/>
        <v>0</v>
      </c>
      <c r="E946" s="456">
        <f t="shared" si="64"/>
        <v>0</v>
      </c>
      <c r="F946" s="412">
        <f t="shared" si="59"/>
        <v>0</v>
      </c>
      <c r="G946" s="851">
        <f t="shared" si="62"/>
        <v>0</v>
      </c>
      <c r="H946" s="854">
        <f t="shared" si="63"/>
        <v>0</v>
      </c>
      <c r="I946" s="453">
        <f t="shared" si="60"/>
        <v>0</v>
      </c>
      <c r="J946" s="453"/>
      <c r="K946" s="566"/>
      <c r="L946" s="459"/>
      <c r="M946" s="566"/>
      <c r="N946" s="459"/>
      <c r="O946" s="459"/>
      <c r="P946" s="4"/>
    </row>
    <row r="947" spans="3:16">
      <c r="C947" s="449">
        <f>IF(D898="","-",+C946+1)</f>
        <v>2059</v>
      </c>
      <c r="D947" s="412">
        <f t="shared" si="61"/>
        <v>0</v>
      </c>
      <c r="E947" s="456">
        <f t="shared" si="64"/>
        <v>0</v>
      </c>
      <c r="F947" s="412">
        <f t="shared" si="59"/>
        <v>0</v>
      </c>
      <c r="G947" s="851">
        <f t="shared" si="62"/>
        <v>0</v>
      </c>
      <c r="H947" s="854">
        <f t="shared" si="63"/>
        <v>0</v>
      </c>
      <c r="I947" s="453">
        <f t="shared" si="60"/>
        <v>0</v>
      </c>
      <c r="J947" s="453"/>
      <c r="K947" s="566"/>
      <c r="L947" s="459"/>
      <c r="M947" s="566"/>
      <c r="N947" s="459"/>
      <c r="O947" s="459"/>
      <c r="P947" s="4"/>
    </row>
    <row r="948" spans="3:16">
      <c r="C948" s="449">
        <f>IF(D898="","-",+C947+1)</f>
        <v>2060</v>
      </c>
      <c r="D948" s="412">
        <f t="shared" si="61"/>
        <v>0</v>
      </c>
      <c r="E948" s="456">
        <f t="shared" si="64"/>
        <v>0</v>
      </c>
      <c r="F948" s="412">
        <f t="shared" si="59"/>
        <v>0</v>
      </c>
      <c r="G948" s="851">
        <f t="shared" si="62"/>
        <v>0</v>
      </c>
      <c r="H948" s="854">
        <f t="shared" si="63"/>
        <v>0</v>
      </c>
      <c r="I948" s="453">
        <f t="shared" si="60"/>
        <v>0</v>
      </c>
      <c r="J948" s="453"/>
      <c r="K948" s="566"/>
      <c r="L948" s="459"/>
      <c r="M948" s="566"/>
      <c r="N948" s="459"/>
      <c r="O948" s="459"/>
      <c r="P948" s="4"/>
    </row>
    <row r="949" spans="3:16">
      <c r="C949" s="449">
        <f>IF(D898="","-",+C948+1)</f>
        <v>2061</v>
      </c>
      <c r="D949" s="412">
        <f t="shared" si="61"/>
        <v>0</v>
      </c>
      <c r="E949" s="456">
        <f t="shared" si="64"/>
        <v>0</v>
      </c>
      <c r="F949" s="412">
        <f t="shared" si="59"/>
        <v>0</v>
      </c>
      <c r="G949" s="851">
        <f t="shared" si="62"/>
        <v>0</v>
      </c>
      <c r="H949" s="854">
        <f t="shared" si="63"/>
        <v>0</v>
      </c>
      <c r="I949" s="453">
        <f t="shared" si="60"/>
        <v>0</v>
      </c>
      <c r="J949" s="453"/>
      <c r="K949" s="566"/>
      <c r="L949" s="459"/>
      <c r="M949" s="566"/>
      <c r="N949" s="459"/>
      <c r="O949" s="459"/>
      <c r="P949" s="4"/>
    </row>
    <row r="950" spans="3:16">
      <c r="C950" s="449">
        <f>IF(D898="","-",+C949+1)</f>
        <v>2062</v>
      </c>
      <c r="D950" s="412">
        <f t="shared" si="61"/>
        <v>0</v>
      </c>
      <c r="E950" s="456">
        <f t="shared" si="64"/>
        <v>0</v>
      </c>
      <c r="F950" s="412">
        <f t="shared" si="59"/>
        <v>0</v>
      </c>
      <c r="G950" s="851">
        <f t="shared" si="62"/>
        <v>0</v>
      </c>
      <c r="H950" s="854">
        <f t="shared" si="63"/>
        <v>0</v>
      </c>
      <c r="I950" s="453">
        <f t="shared" si="60"/>
        <v>0</v>
      </c>
      <c r="J950" s="453"/>
      <c r="K950" s="566"/>
      <c r="L950" s="459"/>
      <c r="M950" s="566"/>
      <c r="N950" s="459"/>
      <c r="O950" s="459"/>
      <c r="P950" s="4"/>
    </row>
    <row r="951" spans="3:16">
      <c r="C951" s="449">
        <f>IF(D898="","-",+C950+1)</f>
        <v>2063</v>
      </c>
      <c r="D951" s="412">
        <f t="shared" si="61"/>
        <v>0</v>
      </c>
      <c r="E951" s="456">
        <f t="shared" si="64"/>
        <v>0</v>
      </c>
      <c r="F951" s="412">
        <f t="shared" si="59"/>
        <v>0</v>
      </c>
      <c r="G951" s="851">
        <f t="shared" si="62"/>
        <v>0</v>
      </c>
      <c r="H951" s="854">
        <f t="shared" si="63"/>
        <v>0</v>
      </c>
      <c r="I951" s="453">
        <f t="shared" si="60"/>
        <v>0</v>
      </c>
      <c r="J951" s="453"/>
      <c r="K951" s="566"/>
      <c r="L951" s="459"/>
      <c r="M951" s="566"/>
      <c r="N951" s="459"/>
      <c r="O951" s="459"/>
      <c r="P951" s="4"/>
    </row>
    <row r="952" spans="3:16">
      <c r="C952" s="449">
        <f>IF(D898="","-",+C951+1)</f>
        <v>2064</v>
      </c>
      <c r="D952" s="412">
        <f t="shared" si="61"/>
        <v>0</v>
      </c>
      <c r="E952" s="456">
        <f t="shared" si="64"/>
        <v>0</v>
      </c>
      <c r="F952" s="412">
        <f t="shared" si="59"/>
        <v>0</v>
      </c>
      <c r="G952" s="851">
        <f t="shared" si="62"/>
        <v>0</v>
      </c>
      <c r="H952" s="854">
        <f t="shared" si="63"/>
        <v>0</v>
      </c>
      <c r="I952" s="453">
        <f t="shared" si="60"/>
        <v>0</v>
      </c>
      <c r="J952" s="453"/>
      <c r="K952" s="566"/>
      <c r="L952" s="459"/>
      <c r="M952" s="566"/>
      <c r="N952" s="459"/>
      <c r="O952" s="459"/>
      <c r="P952" s="4"/>
    </row>
    <row r="953" spans="3:16">
      <c r="C953" s="449">
        <f>IF(D898="","-",+C952+1)</f>
        <v>2065</v>
      </c>
      <c r="D953" s="412">
        <f t="shared" si="61"/>
        <v>0</v>
      </c>
      <c r="E953" s="456">
        <f t="shared" si="64"/>
        <v>0</v>
      </c>
      <c r="F953" s="412">
        <f t="shared" si="59"/>
        <v>0</v>
      </c>
      <c r="G953" s="851">
        <f t="shared" si="62"/>
        <v>0</v>
      </c>
      <c r="H953" s="854">
        <f t="shared" si="63"/>
        <v>0</v>
      </c>
      <c r="I953" s="453">
        <f t="shared" si="60"/>
        <v>0</v>
      </c>
      <c r="J953" s="453"/>
      <c r="K953" s="566"/>
      <c r="L953" s="459"/>
      <c r="M953" s="566"/>
      <c r="N953" s="459"/>
      <c r="O953" s="459"/>
      <c r="P953" s="4"/>
    </row>
    <row r="954" spans="3:16">
      <c r="C954" s="449">
        <f>IF(D898="","-",+C953+1)</f>
        <v>2066</v>
      </c>
      <c r="D954" s="412">
        <f t="shared" si="61"/>
        <v>0</v>
      </c>
      <c r="E954" s="456">
        <f t="shared" si="64"/>
        <v>0</v>
      </c>
      <c r="F954" s="412">
        <f t="shared" si="59"/>
        <v>0</v>
      </c>
      <c r="G954" s="851">
        <f t="shared" si="62"/>
        <v>0</v>
      </c>
      <c r="H954" s="854">
        <f t="shared" si="63"/>
        <v>0</v>
      </c>
      <c r="I954" s="453">
        <f t="shared" si="60"/>
        <v>0</v>
      </c>
      <c r="J954" s="453"/>
      <c r="K954" s="566"/>
      <c r="L954" s="459"/>
      <c r="M954" s="566"/>
      <c r="N954" s="459"/>
      <c r="O954" s="459"/>
      <c r="P954" s="4"/>
    </row>
    <row r="955" spans="3:16">
      <c r="C955" s="449">
        <f>IF(D898="","-",+C954+1)</f>
        <v>2067</v>
      </c>
      <c r="D955" s="412">
        <f t="shared" si="61"/>
        <v>0</v>
      </c>
      <c r="E955" s="456">
        <f t="shared" si="64"/>
        <v>0</v>
      </c>
      <c r="F955" s="412">
        <f t="shared" si="59"/>
        <v>0</v>
      </c>
      <c r="G955" s="851">
        <f t="shared" si="62"/>
        <v>0</v>
      </c>
      <c r="H955" s="854">
        <f t="shared" si="63"/>
        <v>0</v>
      </c>
      <c r="I955" s="453">
        <f t="shared" si="60"/>
        <v>0</v>
      </c>
      <c r="J955" s="453"/>
      <c r="K955" s="566"/>
      <c r="L955" s="459"/>
      <c r="M955" s="566"/>
      <c r="N955" s="459"/>
      <c r="O955" s="459"/>
      <c r="P955" s="4"/>
    </row>
    <row r="956" spans="3:16">
      <c r="C956" s="449">
        <f>IF(D898="","-",+C955+1)</f>
        <v>2068</v>
      </c>
      <c r="D956" s="412">
        <f t="shared" si="61"/>
        <v>0</v>
      </c>
      <c r="E956" s="456">
        <f t="shared" si="64"/>
        <v>0</v>
      </c>
      <c r="F956" s="412">
        <f t="shared" si="59"/>
        <v>0</v>
      </c>
      <c r="G956" s="851">
        <f t="shared" si="62"/>
        <v>0</v>
      </c>
      <c r="H956" s="854">
        <f t="shared" si="63"/>
        <v>0</v>
      </c>
      <c r="I956" s="453">
        <f t="shared" si="60"/>
        <v>0</v>
      </c>
      <c r="J956" s="453"/>
      <c r="K956" s="566"/>
      <c r="L956" s="459"/>
      <c r="M956" s="566"/>
      <c r="N956" s="459"/>
      <c r="O956" s="459"/>
      <c r="P956" s="4"/>
    </row>
    <row r="957" spans="3:16">
      <c r="C957" s="449">
        <f>IF(D898="","-",+C956+1)</f>
        <v>2069</v>
      </c>
      <c r="D957" s="412">
        <f t="shared" si="61"/>
        <v>0</v>
      </c>
      <c r="E957" s="456">
        <f t="shared" si="64"/>
        <v>0</v>
      </c>
      <c r="F957" s="412">
        <f t="shared" si="59"/>
        <v>0</v>
      </c>
      <c r="G957" s="851">
        <f t="shared" si="62"/>
        <v>0</v>
      </c>
      <c r="H957" s="854">
        <f t="shared" si="63"/>
        <v>0</v>
      </c>
      <c r="I957" s="453">
        <f t="shared" si="60"/>
        <v>0</v>
      </c>
      <c r="J957" s="453"/>
      <c r="K957" s="566"/>
      <c r="L957" s="459"/>
      <c r="M957" s="566"/>
      <c r="N957" s="459"/>
      <c r="O957" s="459"/>
      <c r="P957" s="4"/>
    </row>
    <row r="958" spans="3:16">
      <c r="C958" s="449">
        <f>IF(D898="","-",+C957+1)</f>
        <v>2070</v>
      </c>
      <c r="D958" s="412">
        <f t="shared" si="61"/>
        <v>0</v>
      </c>
      <c r="E958" s="456">
        <f t="shared" si="64"/>
        <v>0</v>
      </c>
      <c r="F958" s="412">
        <f t="shared" si="59"/>
        <v>0</v>
      </c>
      <c r="G958" s="851">
        <f t="shared" si="62"/>
        <v>0</v>
      </c>
      <c r="H958" s="854">
        <f t="shared" si="63"/>
        <v>0</v>
      </c>
      <c r="I958" s="453">
        <f t="shared" si="60"/>
        <v>0</v>
      </c>
      <c r="J958" s="453"/>
      <c r="K958" s="566"/>
      <c r="L958" s="459"/>
      <c r="M958" s="566"/>
      <c r="N958" s="459"/>
      <c r="O958" s="459"/>
      <c r="P958" s="4"/>
    </row>
    <row r="959" spans="3:16">
      <c r="C959" s="449">
        <f>IF(D898="","-",+C958+1)</f>
        <v>2071</v>
      </c>
      <c r="D959" s="412">
        <f t="shared" si="61"/>
        <v>0</v>
      </c>
      <c r="E959" s="456">
        <f t="shared" si="64"/>
        <v>0</v>
      </c>
      <c r="F959" s="412">
        <f t="shared" si="59"/>
        <v>0</v>
      </c>
      <c r="G959" s="851">
        <f t="shared" si="62"/>
        <v>0</v>
      </c>
      <c r="H959" s="854">
        <f t="shared" si="63"/>
        <v>0</v>
      </c>
      <c r="I959" s="453">
        <f t="shared" si="60"/>
        <v>0</v>
      </c>
      <c r="J959" s="453"/>
      <c r="K959" s="566"/>
      <c r="L959" s="459"/>
      <c r="M959" s="566"/>
      <c r="N959" s="459"/>
      <c r="O959" s="459"/>
      <c r="P959" s="4"/>
    </row>
    <row r="960" spans="3:16">
      <c r="C960" s="449">
        <f>IF(D898="","-",+C959+1)</f>
        <v>2072</v>
      </c>
      <c r="D960" s="412">
        <f t="shared" si="61"/>
        <v>0</v>
      </c>
      <c r="E960" s="456">
        <f t="shared" si="64"/>
        <v>0</v>
      </c>
      <c r="F960" s="412">
        <f t="shared" si="59"/>
        <v>0</v>
      </c>
      <c r="G960" s="851">
        <f t="shared" si="62"/>
        <v>0</v>
      </c>
      <c r="H960" s="854">
        <f t="shared" si="63"/>
        <v>0</v>
      </c>
      <c r="I960" s="453">
        <f t="shared" si="60"/>
        <v>0</v>
      </c>
      <c r="J960" s="453"/>
      <c r="K960" s="566"/>
      <c r="L960" s="459"/>
      <c r="M960" s="566"/>
      <c r="N960" s="459"/>
      <c r="O960" s="459"/>
      <c r="P960" s="4"/>
    </row>
    <row r="961" spans="1:16">
      <c r="C961" s="449">
        <f>IF(D898="","-",+C960+1)</f>
        <v>2073</v>
      </c>
      <c r="D961" s="412">
        <f t="shared" si="61"/>
        <v>0</v>
      </c>
      <c r="E961" s="456">
        <f t="shared" si="64"/>
        <v>0</v>
      </c>
      <c r="F961" s="412">
        <f t="shared" si="59"/>
        <v>0</v>
      </c>
      <c r="G961" s="851">
        <f t="shared" si="62"/>
        <v>0</v>
      </c>
      <c r="H961" s="854">
        <f t="shared" si="63"/>
        <v>0</v>
      </c>
      <c r="I961" s="453">
        <f t="shared" si="60"/>
        <v>0</v>
      </c>
      <c r="J961" s="453"/>
      <c r="K961" s="566"/>
      <c r="L961" s="459"/>
      <c r="M961" s="566"/>
      <c r="N961" s="459"/>
      <c r="O961" s="459"/>
      <c r="P961" s="4"/>
    </row>
    <row r="962" spans="1:16">
      <c r="C962" s="449">
        <f>IF(D898="","-",+C961+1)</f>
        <v>2074</v>
      </c>
      <c r="D962" s="412">
        <f t="shared" si="61"/>
        <v>0</v>
      </c>
      <c r="E962" s="456">
        <f t="shared" si="64"/>
        <v>0</v>
      </c>
      <c r="F962" s="412">
        <f t="shared" si="59"/>
        <v>0</v>
      </c>
      <c r="G962" s="851">
        <f t="shared" si="62"/>
        <v>0</v>
      </c>
      <c r="H962" s="854">
        <f t="shared" si="63"/>
        <v>0</v>
      </c>
      <c r="I962" s="453">
        <f t="shared" si="60"/>
        <v>0</v>
      </c>
      <c r="J962" s="453"/>
      <c r="K962" s="566"/>
      <c r="L962" s="459"/>
      <c r="M962" s="566"/>
      <c r="N962" s="459"/>
      <c r="O962" s="459"/>
      <c r="P962" s="4"/>
    </row>
    <row r="963" spans="1:16" ht="13.5" thickBot="1">
      <c r="C963" s="461">
        <f>IF(D898="","-",+C962+1)</f>
        <v>2075</v>
      </c>
      <c r="D963" s="462">
        <f t="shared" si="61"/>
        <v>0</v>
      </c>
      <c r="E963" s="463">
        <f t="shared" si="64"/>
        <v>0</v>
      </c>
      <c r="F963" s="462">
        <f t="shared" si="59"/>
        <v>0</v>
      </c>
      <c r="G963" s="861">
        <f t="shared" si="62"/>
        <v>0</v>
      </c>
      <c r="H963" s="861">
        <f t="shared" si="63"/>
        <v>0</v>
      </c>
      <c r="I963" s="465">
        <f t="shared" si="60"/>
        <v>0</v>
      </c>
      <c r="J963" s="453"/>
      <c r="K963" s="567"/>
      <c r="L963" s="467"/>
      <c r="M963" s="567"/>
      <c r="N963" s="467"/>
      <c r="O963" s="467"/>
      <c r="P963" s="4"/>
    </row>
    <row r="964" spans="1:16">
      <c r="C964" s="412" t="s">
        <v>288</v>
      </c>
      <c r="D964" s="832"/>
      <c r="E964" s="832">
        <f>SUM(E904:E963)</f>
        <v>63046560.969999999</v>
      </c>
      <c r="F964" s="832"/>
      <c r="G964" s="832">
        <f>SUM(G904:G963)</f>
        <v>204152570.24727711</v>
      </c>
      <c r="H964" s="832">
        <f>SUM(H904:H963)</f>
        <v>204152570.24727711</v>
      </c>
      <c r="I964" s="832">
        <f>SUM(I904:I963)</f>
        <v>0</v>
      </c>
      <c r="J964" s="832"/>
      <c r="K964" s="832"/>
      <c r="L964" s="832"/>
      <c r="M964" s="832"/>
      <c r="N964" s="832"/>
      <c r="O964" s="4"/>
      <c r="P964" s="4"/>
    </row>
    <row r="965" spans="1:16">
      <c r="D965" s="67"/>
      <c r="E965" s="4"/>
      <c r="F965" s="4"/>
      <c r="G965" s="4"/>
      <c r="H965" s="831"/>
      <c r="I965" s="831"/>
      <c r="J965" s="832"/>
      <c r="K965" s="831"/>
      <c r="L965" s="831"/>
      <c r="M965" s="831"/>
      <c r="N965" s="831"/>
      <c r="O965" s="4"/>
      <c r="P965" s="4"/>
    </row>
    <row r="966" spans="1:16">
      <c r="C966" s="4" t="s">
        <v>601</v>
      </c>
      <c r="D966" s="67"/>
      <c r="E966" s="4"/>
      <c r="F966" s="4"/>
      <c r="G966" s="4"/>
      <c r="H966" s="831"/>
      <c r="I966" s="831"/>
      <c r="J966" s="832"/>
      <c r="K966" s="831"/>
      <c r="L966" s="831"/>
      <c r="M966" s="831"/>
      <c r="N966" s="831"/>
      <c r="O966" s="4"/>
      <c r="P966" s="4"/>
    </row>
    <row r="967" spans="1:16">
      <c r="D967" s="67"/>
      <c r="E967" s="4"/>
      <c r="F967" s="4"/>
      <c r="G967" s="4"/>
      <c r="H967" s="831"/>
      <c r="I967" s="831"/>
      <c r="J967" s="832"/>
      <c r="K967" s="831"/>
      <c r="L967" s="831"/>
      <c r="M967" s="831"/>
      <c r="N967" s="831"/>
      <c r="O967" s="4"/>
      <c r="P967" s="4"/>
    </row>
    <row r="968" spans="1:16">
      <c r="C968" s="4" t="s">
        <v>602</v>
      </c>
      <c r="D968" s="412"/>
      <c r="E968" s="412"/>
      <c r="F968" s="412"/>
      <c r="G968" s="832"/>
      <c r="H968" s="832"/>
      <c r="I968" s="414"/>
      <c r="J968" s="414"/>
      <c r="K968" s="414"/>
      <c r="L968" s="414"/>
      <c r="M968" s="414"/>
      <c r="N968" s="414"/>
      <c r="O968" s="4"/>
      <c r="P968" s="4"/>
    </row>
    <row r="969" spans="1:16">
      <c r="C969" s="4" t="s">
        <v>476</v>
      </c>
      <c r="D969" s="412"/>
      <c r="E969" s="412"/>
      <c r="F969" s="412"/>
      <c r="G969" s="832"/>
      <c r="H969" s="832"/>
      <c r="I969" s="414"/>
      <c r="J969" s="414"/>
      <c r="K969" s="414"/>
      <c r="L969" s="414"/>
      <c r="M969" s="414"/>
      <c r="N969" s="414"/>
      <c r="O969" s="4"/>
      <c r="P969" s="4"/>
    </row>
    <row r="970" spans="1:16">
      <c r="C970" s="4" t="s">
        <v>289</v>
      </c>
      <c r="D970" s="412"/>
      <c r="E970" s="412"/>
      <c r="F970" s="412"/>
      <c r="G970" s="832"/>
      <c r="H970" s="832"/>
      <c r="I970" s="414"/>
      <c r="J970" s="414"/>
      <c r="K970" s="414"/>
      <c r="L970" s="414"/>
      <c r="M970" s="414"/>
      <c r="N970" s="414"/>
      <c r="O970" s="4"/>
      <c r="P970" s="4"/>
    </row>
    <row r="971" spans="1:16">
      <c r="C971" s="413"/>
      <c r="D971" s="412"/>
      <c r="E971" s="412"/>
      <c r="F971" s="412"/>
      <c r="G971" s="832"/>
      <c r="H971" s="832"/>
      <c r="I971" s="414"/>
      <c r="J971" s="414"/>
      <c r="K971" s="414"/>
      <c r="L971" s="414"/>
      <c r="M971" s="414"/>
      <c r="N971" s="414"/>
      <c r="O971" s="4"/>
      <c r="P971" s="4"/>
    </row>
    <row r="972" spans="1:16">
      <c r="C972" s="1279" t="s">
        <v>460</v>
      </c>
      <c r="D972" s="1279"/>
      <c r="E972" s="1279"/>
      <c r="F972" s="1279"/>
      <c r="G972" s="1279"/>
      <c r="H972" s="1279"/>
      <c r="I972" s="1279"/>
      <c r="J972" s="1279"/>
      <c r="K972" s="1279"/>
      <c r="L972" s="1279"/>
      <c r="M972" s="1279"/>
      <c r="N972" s="1279"/>
      <c r="O972" s="1279"/>
      <c r="P972" s="4"/>
    </row>
    <row r="973" spans="1:16">
      <c r="C973" s="1279"/>
      <c r="D973" s="1279"/>
      <c r="E973" s="1279"/>
      <c r="F973" s="1279"/>
      <c r="G973" s="1279"/>
      <c r="H973" s="1279"/>
      <c r="I973" s="1279"/>
      <c r="J973" s="1279"/>
      <c r="K973" s="1279"/>
      <c r="L973" s="1279"/>
      <c r="M973" s="1279"/>
      <c r="N973" s="1279"/>
      <c r="O973" s="1279"/>
      <c r="P973" s="4"/>
    </row>
    <row r="974" spans="1:16" ht="20.25">
      <c r="A974" s="352" t="s">
        <v>929</v>
      </c>
      <c r="B974" s="4"/>
      <c r="C974" s="4"/>
      <c r="D974" s="67"/>
      <c r="E974" s="4"/>
      <c r="F974" s="394"/>
      <c r="G974" s="4"/>
      <c r="H974" s="831"/>
      <c r="K974" s="353"/>
      <c r="L974" s="353"/>
      <c r="M974" s="353"/>
      <c r="N974" s="353" t="str">
        <f>"Page "&amp;SUM(P$6:P974)&amp;" of "</f>
        <v xml:space="preserve">Page 12 of </v>
      </c>
      <c r="O974" s="354">
        <f>COUNT(P$6:P$59606)</f>
        <v>18</v>
      </c>
      <c r="P974" s="4">
        <v>1</v>
      </c>
    </row>
    <row r="975" spans="1:16">
      <c r="B975" s="4"/>
      <c r="C975" s="4"/>
      <c r="D975" s="67"/>
      <c r="E975" s="4"/>
      <c r="F975" s="4"/>
      <c r="G975" s="4"/>
      <c r="H975" s="831"/>
      <c r="I975" s="4"/>
      <c r="J975" s="4"/>
      <c r="K975" s="4"/>
      <c r="L975" s="4"/>
      <c r="M975" s="4"/>
      <c r="N975" s="4"/>
      <c r="O975" s="4"/>
      <c r="P975" s="4"/>
    </row>
    <row r="976" spans="1:16" ht="18">
      <c r="B976" s="355" t="s">
        <v>174</v>
      </c>
      <c r="C976" s="415" t="s">
        <v>290</v>
      </c>
      <c r="D976" s="67"/>
      <c r="E976" s="4"/>
      <c r="F976" s="4"/>
      <c r="G976" s="4"/>
      <c r="H976" s="831"/>
      <c r="I976" s="831"/>
      <c r="J976" s="832"/>
      <c r="K976" s="831"/>
      <c r="L976" s="831"/>
      <c r="M976" s="831"/>
      <c r="N976" s="831"/>
      <c r="O976" s="4"/>
      <c r="P976" s="4"/>
    </row>
    <row r="977" spans="1:16" ht="18.75">
      <c r="B977" s="355"/>
      <c r="C977" s="11"/>
      <c r="D977" s="67"/>
      <c r="E977" s="4"/>
      <c r="F977" s="4"/>
      <c r="G977" s="4"/>
      <c r="H977" s="831"/>
      <c r="I977" s="831"/>
      <c r="J977" s="832"/>
      <c r="K977" s="831"/>
      <c r="L977" s="831"/>
      <c r="M977" s="831"/>
      <c r="N977" s="831"/>
      <c r="O977" s="4"/>
      <c r="P977" s="4"/>
    </row>
    <row r="978" spans="1:16" ht="18.75">
      <c r="B978" s="355"/>
      <c r="C978" s="11" t="s">
        <v>291</v>
      </c>
      <c r="D978" s="67"/>
      <c r="E978" s="4"/>
      <c r="F978" s="4"/>
      <c r="G978" s="4"/>
      <c r="H978" s="831"/>
      <c r="I978" s="831"/>
      <c r="J978" s="832"/>
      <c r="K978" s="831"/>
      <c r="L978" s="831"/>
      <c r="M978" s="831"/>
      <c r="N978" s="831"/>
      <c r="O978" s="4"/>
      <c r="P978" s="4"/>
    </row>
    <row r="979" spans="1:16" ht="15.75" thickBot="1">
      <c r="C979" s="203"/>
      <c r="D979" s="67"/>
      <c r="E979" s="4"/>
      <c r="F979" s="4"/>
      <c r="G979" s="4"/>
      <c r="H979" s="831"/>
      <c r="I979" s="831"/>
      <c r="J979" s="832"/>
      <c r="K979" s="831"/>
      <c r="L979" s="831"/>
      <c r="M979" s="831"/>
      <c r="N979" s="831"/>
      <c r="O979" s="4"/>
      <c r="P979" s="4"/>
    </row>
    <row r="980" spans="1:16" ht="15.75">
      <c r="C980" s="356" t="s">
        <v>292</v>
      </c>
      <c r="D980" s="67"/>
      <c r="E980" s="4"/>
      <c r="F980" s="4"/>
      <c r="G980" s="833"/>
      <c r="H980" s="4" t="s">
        <v>271</v>
      </c>
      <c r="I980" s="4"/>
      <c r="J980" s="4"/>
      <c r="K980" s="416" t="s">
        <v>296</v>
      </c>
      <c r="L980" s="417"/>
      <c r="M980" s="418"/>
      <c r="N980" s="834">
        <f>VLOOKUP(I986,C993:O1052,5)</f>
        <v>27313.183451131285</v>
      </c>
      <c r="O980" s="4"/>
      <c r="P980" s="4"/>
    </row>
    <row r="981" spans="1:16" ht="15.75">
      <c r="C981" s="356"/>
      <c r="D981" s="67"/>
      <c r="E981" s="4"/>
      <c r="F981" s="4"/>
      <c r="G981" s="4"/>
      <c r="H981" s="835"/>
      <c r="I981" s="835"/>
      <c r="J981" s="836"/>
      <c r="K981" s="421" t="s">
        <v>297</v>
      </c>
      <c r="L981" s="837"/>
      <c r="M981" s="4"/>
      <c r="N981" s="838">
        <f>VLOOKUP(I986,C993:O1052,6)</f>
        <v>27313.183451131285</v>
      </c>
      <c r="O981" s="4"/>
      <c r="P981" s="4"/>
    </row>
    <row r="982" spans="1:16" ht="13.5" thickBot="1">
      <c r="C982" s="422" t="s">
        <v>293</v>
      </c>
      <c r="D982" s="1277" t="s">
        <v>941</v>
      </c>
      <c r="E982" s="1277"/>
      <c r="F982" s="1277"/>
      <c r="G982" s="1277"/>
      <c r="H982" s="1277"/>
      <c r="I982" s="831"/>
      <c r="J982" s="832"/>
      <c r="K982" s="839" t="s">
        <v>450</v>
      </c>
      <c r="L982" s="840"/>
      <c r="M982" s="840"/>
      <c r="N982" s="841">
        <f>+N981-N980</f>
        <v>0</v>
      </c>
      <c r="O982" s="4"/>
      <c r="P982" s="4"/>
    </row>
    <row r="983" spans="1:16">
      <c r="C983" s="424"/>
      <c r="D983" s="425"/>
      <c r="E983" s="412"/>
      <c r="F983" s="412"/>
      <c r="G983" s="426"/>
      <c r="H983" s="831"/>
      <c r="I983" s="831"/>
      <c r="J983" s="832"/>
      <c r="K983" s="831"/>
      <c r="L983" s="831"/>
      <c r="M983" s="831"/>
      <c r="N983" s="831"/>
      <c r="O983" s="4"/>
      <c r="P983" s="4"/>
    </row>
    <row r="984" spans="1:16" ht="13.5" thickBot="1">
      <c r="C984" s="424"/>
      <c r="D984" s="4"/>
      <c r="E984" s="426"/>
      <c r="F984" s="426"/>
      <c r="G984" s="426"/>
      <c r="H984" s="426"/>
      <c r="I984" s="426"/>
      <c r="J984" s="426"/>
      <c r="K984" s="426"/>
      <c r="L984" s="426"/>
      <c r="M984" s="426"/>
      <c r="N984" s="426"/>
      <c r="O984" s="4"/>
      <c r="P984" s="4"/>
    </row>
    <row r="985" spans="1:16" ht="13.5" thickBot="1">
      <c r="C985" s="427" t="s">
        <v>294</v>
      </c>
      <c r="D985" s="428"/>
      <c r="E985" s="428"/>
      <c r="F985" s="428"/>
      <c r="G985" s="428"/>
      <c r="H985" s="428"/>
      <c r="I985" s="429"/>
      <c r="K985" s="4"/>
      <c r="L985" s="4"/>
      <c r="M985" s="4"/>
      <c r="N985" s="4"/>
      <c r="O985" s="4"/>
      <c r="P985" s="4"/>
    </row>
    <row r="986" spans="1:16" ht="15">
      <c r="C986" s="430" t="s">
        <v>272</v>
      </c>
      <c r="D986" s="842">
        <v>267989.22000000003</v>
      </c>
      <c r="E986" s="4" t="s">
        <v>273</v>
      </c>
      <c r="G986" s="67"/>
      <c r="H986" s="67"/>
      <c r="I986" s="431">
        <f>$L$26</f>
        <v>2026</v>
      </c>
      <c r="J986" s="114"/>
      <c r="K986" s="1278" t="s">
        <v>459</v>
      </c>
      <c r="L986" s="1278"/>
      <c r="M986" s="1278"/>
      <c r="N986" s="1278"/>
      <c r="O986" s="1278"/>
      <c r="P986" s="4"/>
    </row>
    <row r="987" spans="1:16">
      <c r="C987" s="430" t="s">
        <v>275</v>
      </c>
      <c r="D987" s="561">
        <v>2014</v>
      </c>
      <c r="E987" s="430" t="s">
        <v>276</v>
      </c>
      <c r="F987" s="67"/>
      <c r="I987" s="564">
        <f>IF(G980="",0,$F$15)</f>
        <v>0</v>
      </c>
      <c r="J987" s="432"/>
      <c r="K987" s="832" t="s">
        <v>459</v>
      </c>
      <c r="P987" s="4"/>
    </row>
    <row r="988" spans="1:16">
      <c r="C988" s="430" t="s">
        <v>277</v>
      </c>
      <c r="D988" s="843">
        <v>1</v>
      </c>
      <c r="E988" s="430" t="s">
        <v>278</v>
      </c>
      <c r="F988" s="67"/>
      <c r="I988" s="433">
        <f>$G$70</f>
        <v>0.1119061905251431</v>
      </c>
      <c r="J988" s="394"/>
      <c r="K988" t="str">
        <f>"          INPUT PROJECTED ARR (WITH &amp; WITHOUT INCENTIVES) FROM EACH PRIOR YEAR"</f>
        <v xml:space="preserve">          INPUT PROJECTED ARR (WITH &amp; WITHOUT INCENTIVES) FROM EACH PRIOR YEAR</v>
      </c>
      <c r="P988" s="4"/>
    </row>
    <row r="989" spans="1:16">
      <c r="C989" s="430" t="s">
        <v>279</v>
      </c>
      <c r="D989" s="434">
        <f>G$79</f>
        <v>39</v>
      </c>
      <c r="E989" s="430" t="s">
        <v>280</v>
      </c>
      <c r="F989" s="67"/>
      <c r="I989" s="433">
        <f>IF(G980="",I988,$G$67)</f>
        <v>0.1119061905251431</v>
      </c>
      <c r="J989" s="394"/>
      <c r="K989" t="s">
        <v>357</v>
      </c>
      <c r="P989" s="4"/>
    </row>
    <row r="990" spans="1:16" ht="13.5" thickBot="1">
      <c r="C990" s="430" t="s">
        <v>281</v>
      </c>
      <c r="D990" s="563" t="s">
        <v>931</v>
      </c>
      <c r="E990" s="435" t="s">
        <v>282</v>
      </c>
      <c r="F990" s="436"/>
      <c r="G990" s="437"/>
      <c r="H990" s="437"/>
      <c r="I990" s="841">
        <f>IF(D986=0,0,D986/D989)</f>
        <v>6871.5184615384624</v>
      </c>
      <c r="J990" s="832"/>
      <c r="K990" s="832" t="s">
        <v>363</v>
      </c>
      <c r="L990" s="832"/>
      <c r="M990" s="832"/>
      <c r="N990" s="832"/>
      <c r="O990" s="4"/>
      <c r="P990" s="4"/>
    </row>
    <row r="991" spans="1:16" ht="51">
      <c r="A991" s="322"/>
      <c r="B991" s="322"/>
      <c r="C991" s="438" t="s">
        <v>272</v>
      </c>
      <c r="D991" s="844" t="s">
        <v>283</v>
      </c>
      <c r="E991" s="845" t="s">
        <v>284</v>
      </c>
      <c r="F991" s="844" t="s">
        <v>285</v>
      </c>
      <c r="G991" s="845" t="s">
        <v>356</v>
      </c>
      <c r="H991" s="846" t="s">
        <v>356</v>
      </c>
      <c r="I991" s="438" t="s">
        <v>295</v>
      </c>
      <c r="J991" s="442"/>
      <c r="K991" s="845" t="s">
        <v>365</v>
      </c>
      <c r="L991" s="847"/>
      <c r="M991" s="845" t="s">
        <v>365</v>
      </c>
      <c r="N991" s="847"/>
      <c r="O991" s="847"/>
      <c r="P991" s="4"/>
    </row>
    <row r="992" spans="1:16" ht="13.5" thickBot="1">
      <c r="C992" s="444" t="s">
        <v>177</v>
      </c>
      <c r="D992" s="445" t="s">
        <v>178</v>
      </c>
      <c r="E992" s="444" t="s">
        <v>37</v>
      </c>
      <c r="F992" s="445" t="s">
        <v>178</v>
      </c>
      <c r="G992" s="848" t="s">
        <v>298</v>
      </c>
      <c r="H992" s="849" t="s">
        <v>300</v>
      </c>
      <c r="I992" s="444" t="s">
        <v>389</v>
      </c>
      <c r="J992" s="448"/>
      <c r="K992" s="848" t="s">
        <v>287</v>
      </c>
      <c r="L992" s="850"/>
      <c r="M992" s="848" t="s">
        <v>300</v>
      </c>
      <c r="N992" s="850"/>
      <c r="O992" s="850"/>
      <c r="P992" s="4"/>
    </row>
    <row r="993" spans="3:16">
      <c r="C993" s="449">
        <f>IF(D987= "","-",D987)</f>
        <v>2014</v>
      </c>
      <c r="D993" s="412">
        <f>+D986</f>
        <v>267989.22000000003</v>
      </c>
      <c r="E993" s="851">
        <f>+I990/12*(12-D988)</f>
        <v>6298.8919230769243</v>
      </c>
      <c r="F993" s="412">
        <f t="shared" ref="F993:F1052" si="65">+D993-E993</f>
        <v>261690.32807692309</v>
      </c>
      <c r="G993" s="852">
        <f>+$I$988*((D993+F993)/2)+E993</f>
        <v>35936.102135260851</v>
      </c>
      <c r="H993" s="853">
        <f>+$I$989*((D993+F993)/2)+E993</f>
        <v>35936.102135260851</v>
      </c>
      <c r="I993" s="453">
        <f t="shared" ref="I993:I1052" si="66">+H993-G993</f>
        <v>0</v>
      </c>
      <c r="J993" s="453"/>
      <c r="K993" s="565"/>
      <c r="L993" s="455"/>
      <c r="M993" s="565"/>
      <c r="N993" s="455"/>
      <c r="O993" s="455"/>
      <c r="P993" s="4"/>
    </row>
    <row r="994" spans="3:16">
      <c r="C994" s="449">
        <f>IF(D987="","-",+C993+1)</f>
        <v>2015</v>
      </c>
      <c r="D994" s="412">
        <f t="shared" ref="D994:D1052" si="67">F993</f>
        <v>261690.32807692309</v>
      </c>
      <c r="E994" s="456">
        <f>IF(D994&gt;$I$990,$I$990,D994)</f>
        <v>6871.5184615384624</v>
      </c>
      <c r="F994" s="412">
        <f t="shared" si="65"/>
        <v>254818.80961538464</v>
      </c>
      <c r="G994" s="851">
        <f t="shared" ref="G994:G1052" si="68">+$I$988*((D994+F994)/2)+E994</f>
        <v>35771.803446824837</v>
      </c>
      <c r="H994" s="854">
        <f t="shared" ref="H994:H1052" si="69">+$I$989*((D994+F994)/2)+E994</f>
        <v>35771.803446824837</v>
      </c>
      <c r="I994" s="453">
        <f t="shared" si="66"/>
        <v>0</v>
      </c>
      <c r="J994" s="453"/>
      <c r="K994" s="566"/>
      <c r="L994" s="459"/>
      <c r="M994" s="566"/>
      <c r="N994" s="459"/>
      <c r="O994" s="459"/>
      <c r="P994" s="4"/>
    </row>
    <row r="995" spans="3:16">
      <c r="C995" s="449">
        <f>IF(D987="","-",+C994+1)</f>
        <v>2016</v>
      </c>
      <c r="D995" s="412">
        <f t="shared" si="67"/>
        <v>254818.80961538464</v>
      </c>
      <c r="E995" s="456">
        <f t="shared" ref="E995:E1052" si="70">IF(D995&gt;$I$990,$I$990,D995)</f>
        <v>6871.5184615384624</v>
      </c>
      <c r="F995" s="412">
        <f t="shared" si="65"/>
        <v>247947.29115384619</v>
      </c>
      <c r="G995" s="851">
        <f t="shared" si="68"/>
        <v>35002.83799267088</v>
      </c>
      <c r="H995" s="854">
        <f t="shared" si="69"/>
        <v>35002.83799267088</v>
      </c>
      <c r="I995" s="453">
        <f t="shared" si="66"/>
        <v>0</v>
      </c>
      <c r="J995" s="453"/>
      <c r="K995" s="876"/>
      <c r="L995" s="864"/>
      <c r="M995" s="876"/>
      <c r="N995" s="459"/>
      <c r="O995" s="459"/>
      <c r="P995" s="4"/>
    </row>
    <row r="996" spans="3:16">
      <c r="C996" s="449">
        <f>IF(D987="","-",+C995+1)</f>
        <v>2017</v>
      </c>
      <c r="D996" s="412">
        <f t="shared" si="67"/>
        <v>247947.29115384619</v>
      </c>
      <c r="E996" s="456">
        <f t="shared" si="70"/>
        <v>6871.5184615384624</v>
      </c>
      <c r="F996" s="412">
        <f t="shared" si="65"/>
        <v>241075.77269230774</v>
      </c>
      <c r="G996" s="851">
        <f t="shared" si="68"/>
        <v>34233.872538516924</v>
      </c>
      <c r="H996" s="854">
        <f t="shared" si="69"/>
        <v>34233.872538516924</v>
      </c>
      <c r="I996" s="453">
        <f t="shared" si="66"/>
        <v>0</v>
      </c>
      <c r="J996" s="453"/>
      <c r="K996" s="566">
        <v>31947</v>
      </c>
      <c r="L996" s="459"/>
      <c r="M996" s="566">
        <v>31947</v>
      </c>
      <c r="N996" s="459"/>
      <c r="O996" s="459"/>
      <c r="P996" s="4"/>
    </row>
    <row r="997" spans="3:16">
      <c r="C997" s="878">
        <f>IF(D987="","-",+C996+1)</f>
        <v>2018</v>
      </c>
      <c r="D997" s="412">
        <f t="shared" si="67"/>
        <v>241075.77269230774</v>
      </c>
      <c r="E997" s="456">
        <f t="shared" si="70"/>
        <v>6871.5184615384624</v>
      </c>
      <c r="F997" s="412">
        <f t="shared" si="65"/>
        <v>234204.25423076929</v>
      </c>
      <c r="G997" s="851">
        <f t="shared" si="68"/>
        <v>33464.907084362967</v>
      </c>
      <c r="H997" s="854">
        <f t="shared" si="69"/>
        <v>33464.907084362967</v>
      </c>
      <c r="I997" s="453">
        <f t="shared" si="66"/>
        <v>0</v>
      </c>
      <c r="J997" s="453"/>
      <c r="K997" s="566">
        <v>35555</v>
      </c>
      <c r="L997" s="459"/>
      <c r="M997" s="566">
        <v>35555</v>
      </c>
      <c r="N997" s="459"/>
      <c r="O997" s="459"/>
      <c r="P997" s="4"/>
    </row>
    <row r="998" spans="3:16">
      <c r="C998" s="449">
        <f>IF(D989="","-",+C997+1)</f>
        <v>2019</v>
      </c>
      <c r="D998" s="412">
        <f t="shared" si="67"/>
        <v>234204.25423076929</v>
      </c>
      <c r="E998" s="456">
        <f t="shared" si="70"/>
        <v>6871.5184615384624</v>
      </c>
      <c r="F998" s="412">
        <f t="shared" si="65"/>
        <v>227332.73576923084</v>
      </c>
      <c r="G998" s="851">
        <f t="shared" si="68"/>
        <v>32695.941630209003</v>
      </c>
      <c r="H998" s="854">
        <f t="shared" si="69"/>
        <v>32695.941630209003</v>
      </c>
      <c r="I998" s="453">
        <f t="shared" si="66"/>
        <v>0</v>
      </c>
      <c r="J998" s="453"/>
      <c r="K998" s="566">
        <v>31143</v>
      </c>
      <c r="L998" s="459"/>
      <c r="M998" s="566">
        <v>31143</v>
      </c>
      <c r="N998" s="459"/>
      <c r="O998" s="459"/>
      <c r="P998" s="4"/>
    </row>
    <row r="999" spans="3:16">
      <c r="C999" s="449">
        <f>IF(D989="","-",+C998+1)</f>
        <v>2020</v>
      </c>
      <c r="D999" s="412">
        <f t="shared" si="67"/>
        <v>227332.73576923084</v>
      </c>
      <c r="E999" s="456">
        <f t="shared" si="70"/>
        <v>6871.5184615384624</v>
      </c>
      <c r="F999" s="412">
        <f t="shared" si="65"/>
        <v>220461.21730769239</v>
      </c>
      <c r="G999" s="851">
        <f t="shared" si="68"/>
        <v>31926.976176055046</v>
      </c>
      <c r="H999" s="854">
        <f t="shared" si="69"/>
        <v>31926.976176055046</v>
      </c>
      <c r="I999" s="453">
        <f t="shared" si="66"/>
        <v>0</v>
      </c>
      <c r="J999" s="453"/>
      <c r="K999" s="566">
        <v>29632.778508013103</v>
      </c>
      <c r="L999" s="459"/>
      <c r="M999" s="566">
        <v>29632.778508013103</v>
      </c>
      <c r="N999" s="459"/>
      <c r="O999" s="459"/>
      <c r="P999" s="4"/>
    </row>
    <row r="1000" spans="3:16">
      <c r="C1000" s="449">
        <f>IF(D987="","-",+C999+1)</f>
        <v>2021</v>
      </c>
      <c r="D1000" s="856">
        <f t="shared" si="67"/>
        <v>220461.21730769239</v>
      </c>
      <c r="E1000" s="857">
        <f t="shared" si="70"/>
        <v>6871.5184615384624</v>
      </c>
      <c r="F1000" s="856">
        <f t="shared" si="65"/>
        <v>213589.69884615394</v>
      </c>
      <c r="G1000" s="858">
        <f t="shared" si="68"/>
        <v>31158.010721901082</v>
      </c>
      <c r="H1000" s="859">
        <f t="shared" si="69"/>
        <v>31158.010721901082</v>
      </c>
      <c r="I1000" s="865">
        <f t="shared" si="66"/>
        <v>0</v>
      </c>
      <c r="J1000" s="453"/>
      <c r="K1000" s="566">
        <v>29062.167010673293</v>
      </c>
      <c r="L1000" s="459"/>
      <c r="M1000" s="566">
        <v>29062.167010673293</v>
      </c>
      <c r="N1000" s="459"/>
      <c r="O1000" s="459"/>
      <c r="P1000" s="4"/>
    </row>
    <row r="1001" spans="3:16">
      <c r="C1001" s="449">
        <f>IF(D992="","-",+C1000+1)</f>
        <v>2022</v>
      </c>
      <c r="D1001" s="412">
        <f t="shared" si="67"/>
        <v>213589.69884615394</v>
      </c>
      <c r="E1001" s="456">
        <f t="shared" si="70"/>
        <v>6871.5184615384624</v>
      </c>
      <c r="F1001" s="412">
        <f t="shared" si="65"/>
        <v>206718.18038461549</v>
      </c>
      <c r="G1001" s="851">
        <f t="shared" si="68"/>
        <v>30389.045267747126</v>
      </c>
      <c r="H1001" s="854">
        <f t="shared" si="69"/>
        <v>30389.045267747126</v>
      </c>
      <c r="I1001" s="453">
        <f t="shared" si="66"/>
        <v>0</v>
      </c>
      <c r="J1001" s="453"/>
      <c r="K1001" s="566">
        <v>28656.328529869774</v>
      </c>
      <c r="L1001" s="459"/>
      <c r="M1001" s="566">
        <v>28656.328529869774</v>
      </c>
      <c r="N1001" s="459"/>
      <c r="O1001" s="459"/>
      <c r="P1001" s="4"/>
    </row>
    <row r="1002" spans="3:16">
      <c r="C1002" s="449">
        <f>IF(D992="","-",+C1001+1)</f>
        <v>2023</v>
      </c>
      <c r="D1002" s="412">
        <f t="shared" si="67"/>
        <v>206718.18038461549</v>
      </c>
      <c r="E1002" s="456">
        <f t="shared" si="70"/>
        <v>6871.5184615384624</v>
      </c>
      <c r="F1002" s="412">
        <f t="shared" si="65"/>
        <v>199846.66192307704</v>
      </c>
      <c r="G1002" s="851">
        <f t="shared" si="68"/>
        <v>29620.079813593162</v>
      </c>
      <c r="H1002" s="854">
        <f t="shared" si="69"/>
        <v>29620.079813593162</v>
      </c>
      <c r="I1002" s="453">
        <f t="shared" si="66"/>
        <v>0</v>
      </c>
      <c r="J1002" s="453"/>
      <c r="K1002" s="566">
        <v>29426.158755165296</v>
      </c>
      <c r="L1002" s="459"/>
      <c r="M1002" s="566">
        <v>29426.158755165296</v>
      </c>
      <c r="N1002" s="459"/>
      <c r="O1002" s="459"/>
      <c r="P1002" s="4"/>
    </row>
    <row r="1003" spans="3:16">
      <c r="C1003" s="449">
        <f>IF(D987="","-",+C1002+1)</f>
        <v>2024</v>
      </c>
      <c r="D1003" s="412">
        <f t="shared" si="67"/>
        <v>199846.66192307704</v>
      </c>
      <c r="E1003" s="456">
        <f t="shared" si="70"/>
        <v>6871.5184615384624</v>
      </c>
      <c r="F1003" s="412">
        <f t="shared" si="65"/>
        <v>192975.1434615386</v>
      </c>
      <c r="G1003" s="851">
        <f t="shared" si="68"/>
        <v>28851.114359439205</v>
      </c>
      <c r="H1003" s="854">
        <f t="shared" si="69"/>
        <v>28851.114359439205</v>
      </c>
      <c r="I1003" s="453">
        <f t="shared" si="66"/>
        <v>0</v>
      </c>
      <c r="J1003" s="453"/>
      <c r="K1003" s="566">
        <v>28585.028390207699</v>
      </c>
      <c r="L1003" s="459"/>
      <c r="M1003" s="566">
        <v>28585.028390207699</v>
      </c>
      <c r="N1003" s="459"/>
      <c r="O1003" s="459"/>
      <c r="P1003" s="4"/>
    </row>
    <row r="1004" spans="3:16">
      <c r="C1004" s="449">
        <f>IF(D987="","-",+C1003+1)</f>
        <v>2025</v>
      </c>
      <c r="D1004" s="412">
        <f t="shared" si="67"/>
        <v>192975.1434615386</v>
      </c>
      <c r="E1004" s="456">
        <f t="shared" si="70"/>
        <v>6871.5184615384624</v>
      </c>
      <c r="F1004" s="412">
        <f t="shared" si="65"/>
        <v>186103.62500000015</v>
      </c>
      <c r="G1004" s="851">
        <f t="shared" si="68"/>
        <v>28082.148905285241</v>
      </c>
      <c r="H1004" s="854">
        <f t="shared" si="69"/>
        <v>28082.148905285241</v>
      </c>
      <c r="I1004" s="453">
        <f t="shared" si="66"/>
        <v>0</v>
      </c>
      <c r="J1004" s="453"/>
      <c r="K1004" s="566">
        <v>27949.246682267229</v>
      </c>
      <c r="L1004" s="459"/>
      <c r="M1004" s="566">
        <v>27949.246682267229</v>
      </c>
      <c r="N1004" s="459"/>
      <c r="O1004" s="459"/>
      <c r="P1004" s="4"/>
    </row>
    <row r="1005" spans="3:16">
      <c r="C1005" s="855">
        <f>IF(D987="","-",+C1004+1)</f>
        <v>2026</v>
      </c>
      <c r="D1005" s="412">
        <f t="shared" si="67"/>
        <v>186103.62500000015</v>
      </c>
      <c r="E1005" s="456">
        <f t="shared" si="70"/>
        <v>6871.5184615384624</v>
      </c>
      <c r="F1005" s="412">
        <f t="shared" si="65"/>
        <v>179232.1065384617</v>
      </c>
      <c r="G1005" s="851">
        <f t="shared" si="68"/>
        <v>27313.183451131285</v>
      </c>
      <c r="H1005" s="854">
        <f t="shared" si="69"/>
        <v>27313.183451131285</v>
      </c>
      <c r="I1005" s="453">
        <f t="shared" si="66"/>
        <v>0</v>
      </c>
      <c r="J1005" s="453"/>
      <c r="K1005" s="566"/>
      <c r="L1005" s="459"/>
      <c r="M1005" s="566"/>
      <c r="N1005" s="460"/>
      <c r="O1005" s="459"/>
      <c r="P1005" s="4"/>
    </row>
    <row r="1006" spans="3:16">
      <c r="C1006" s="449">
        <f>IF(D987="","-",+C1005+1)</f>
        <v>2027</v>
      </c>
      <c r="D1006" s="412">
        <f t="shared" si="67"/>
        <v>179232.1065384617</v>
      </c>
      <c r="E1006" s="456">
        <f t="shared" si="70"/>
        <v>6871.5184615384624</v>
      </c>
      <c r="F1006" s="412">
        <f t="shared" si="65"/>
        <v>172360.58807692325</v>
      </c>
      <c r="G1006" s="851">
        <f t="shared" si="68"/>
        <v>26544.217996977321</v>
      </c>
      <c r="H1006" s="854">
        <f t="shared" si="69"/>
        <v>26544.217996977321</v>
      </c>
      <c r="I1006" s="453">
        <f t="shared" si="66"/>
        <v>0</v>
      </c>
      <c r="J1006" s="453"/>
      <c r="K1006" s="566"/>
      <c r="L1006" s="459"/>
      <c r="M1006" s="566"/>
      <c r="N1006" s="459"/>
      <c r="O1006" s="459"/>
      <c r="P1006" s="4"/>
    </row>
    <row r="1007" spans="3:16">
      <c r="C1007" s="449">
        <f>IF(D987="","-",+C1006+1)</f>
        <v>2028</v>
      </c>
      <c r="D1007" s="412">
        <f t="shared" si="67"/>
        <v>172360.58807692325</v>
      </c>
      <c r="E1007" s="456">
        <f t="shared" si="70"/>
        <v>6871.5184615384624</v>
      </c>
      <c r="F1007" s="412">
        <f t="shared" si="65"/>
        <v>165489.0696153848</v>
      </c>
      <c r="G1007" s="851">
        <f t="shared" si="68"/>
        <v>25775.252542823364</v>
      </c>
      <c r="H1007" s="854">
        <f t="shared" si="69"/>
        <v>25775.252542823364</v>
      </c>
      <c r="I1007" s="453">
        <f t="shared" si="66"/>
        <v>0</v>
      </c>
      <c r="J1007" s="453"/>
      <c r="K1007" s="566"/>
      <c r="L1007" s="459"/>
      <c r="M1007" s="566"/>
      <c r="N1007" s="459"/>
      <c r="O1007" s="459"/>
      <c r="P1007" s="4"/>
    </row>
    <row r="1008" spans="3:16">
      <c r="C1008" s="449">
        <f>IF(D987="","-",+C1007+1)</f>
        <v>2029</v>
      </c>
      <c r="D1008" s="412">
        <f t="shared" si="67"/>
        <v>165489.0696153848</v>
      </c>
      <c r="E1008" s="456">
        <f t="shared" si="70"/>
        <v>6871.5184615384624</v>
      </c>
      <c r="F1008" s="412">
        <f t="shared" si="65"/>
        <v>158617.55115384635</v>
      </c>
      <c r="G1008" s="851">
        <f t="shared" si="68"/>
        <v>25006.2870886694</v>
      </c>
      <c r="H1008" s="854">
        <f t="shared" si="69"/>
        <v>25006.2870886694</v>
      </c>
      <c r="I1008" s="453">
        <f t="shared" si="66"/>
        <v>0</v>
      </c>
      <c r="J1008" s="453"/>
      <c r="K1008" s="566"/>
      <c r="L1008" s="459"/>
      <c r="M1008" s="566"/>
      <c r="N1008" s="459"/>
      <c r="O1008" s="459"/>
      <c r="P1008" s="4"/>
    </row>
    <row r="1009" spans="3:16">
      <c r="C1009" s="449">
        <f>IF(D987="","-",+C1008+1)</f>
        <v>2030</v>
      </c>
      <c r="D1009" s="412">
        <f t="shared" si="67"/>
        <v>158617.55115384635</v>
      </c>
      <c r="E1009" s="456">
        <f t="shared" si="70"/>
        <v>6871.5184615384624</v>
      </c>
      <c r="F1009" s="412">
        <f t="shared" si="65"/>
        <v>151746.0326923079</v>
      </c>
      <c r="G1009" s="851">
        <f t="shared" si="68"/>
        <v>24237.321634515443</v>
      </c>
      <c r="H1009" s="854">
        <f t="shared" si="69"/>
        <v>24237.321634515443</v>
      </c>
      <c r="I1009" s="453">
        <f t="shared" si="66"/>
        <v>0</v>
      </c>
      <c r="J1009" s="453"/>
      <c r="K1009" s="566"/>
      <c r="L1009" s="459"/>
      <c r="M1009" s="566"/>
      <c r="N1009" s="459"/>
      <c r="O1009" s="459"/>
      <c r="P1009" s="4"/>
    </row>
    <row r="1010" spans="3:16">
      <c r="C1010" s="449">
        <f>IF(D987="","-",+C1009+1)</f>
        <v>2031</v>
      </c>
      <c r="D1010" s="412">
        <f t="shared" si="67"/>
        <v>151746.0326923079</v>
      </c>
      <c r="E1010" s="456">
        <f t="shared" si="70"/>
        <v>6871.5184615384624</v>
      </c>
      <c r="F1010" s="412">
        <f t="shared" si="65"/>
        <v>144874.51423076945</v>
      </c>
      <c r="G1010" s="851">
        <f t="shared" si="68"/>
        <v>23468.356180361479</v>
      </c>
      <c r="H1010" s="854">
        <f t="shared" si="69"/>
        <v>23468.356180361479</v>
      </c>
      <c r="I1010" s="453">
        <f t="shared" si="66"/>
        <v>0</v>
      </c>
      <c r="J1010" s="453"/>
      <c r="K1010" s="566"/>
      <c r="L1010" s="459"/>
      <c r="M1010" s="566"/>
      <c r="N1010" s="459"/>
      <c r="O1010" s="459"/>
      <c r="P1010" s="4"/>
    </row>
    <row r="1011" spans="3:16">
      <c r="C1011" s="449">
        <f>IF(D987="","-",+C1010+1)</f>
        <v>2032</v>
      </c>
      <c r="D1011" s="412">
        <f t="shared" si="67"/>
        <v>144874.51423076945</v>
      </c>
      <c r="E1011" s="456">
        <f t="shared" si="70"/>
        <v>6871.5184615384624</v>
      </c>
      <c r="F1011" s="412">
        <f t="shared" si="65"/>
        <v>138002.995769231</v>
      </c>
      <c r="G1011" s="851">
        <f t="shared" si="68"/>
        <v>22699.390726207523</v>
      </c>
      <c r="H1011" s="854">
        <f t="shared" si="69"/>
        <v>22699.390726207523</v>
      </c>
      <c r="I1011" s="453">
        <f t="shared" si="66"/>
        <v>0</v>
      </c>
      <c r="J1011" s="453"/>
      <c r="K1011" s="566"/>
      <c r="L1011" s="459"/>
      <c r="M1011" s="566"/>
      <c r="N1011" s="459"/>
      <c r="O1011" s="459"/>
      <c r="P1011" s="4"/>
    </row>
    <row r="1012" spans="3:16">
      <c r="C1012" s="449">
        <f>IF(D987="","-",+C1011+1)</f>
        <v>2033</v>
      </c>
      <c r="D1012" s="412">
        <f t="shared" si="67"/>
        <v>138002.995769231</v>
      </c>
      <c r="E1012" s="456">
        <f t="shared" si="70"/>
        <v>6871.5184615384624</v>
      </c>
      <c r="F1012" s="412">
        <f t="shared" si="65"/>
        <v>131131.47730769255</v>
      </c>
      <c r="G1012" s="851">
        <f t="shared" si="68"/>
        <v>21930.425272053562</v>
      </c>
      <c r="H1012" s="854">
        <f t="shared" si="69"/>
        <v>21930.425272053562</v>
      </c>
      <c r="I1012" s="453">
        <f t="shared" si="66"/>
        <v>0</v>
      </c>
      <c r="J1012" s="453"/>
      <c r="K1012" s="566"/>
      <c r="L1012" s="459"/>
      <c r="M1012" s="566"/>
      <c r="N1012" s="459"/>
      <c r="O1012" s="459"/>
      <c r="P1012" s="4"/>
    </row>
    <row r="1013" spans="3:16">
      <c r="C1013" s="449">
        <f>IF(D987="","-",+C1012+1)</f>
        <v>2034</v>
      </c>
      <c r="D1013" s="412">
        <f t="shared" si="67"/>
        <v>131131.47730769255</v>
      </c>
      <c r="E1013" s="456">
        <f t="shared" si="70"/>
        <v>6871.5184615384624</v>
      </c>
      <c r="F1013" s="412">
        <f t="shared" si="65"/>
        <v>124259.95884615408</v>
      </c>
      <c r="G1013" s="851">
        <f t="shared" si="68"/>
        <v>21161.459817899602</v>
      </c>
      <c r="H1013" s="854">
        <f t="shared" si="69"/>
        <v>21161.459817899602</v>
      </c>
      <c r="I1013" s="453">
        <f t="shared" si="66"/>
        <v>0</v>
      </c>
      <c r="J1013" s="453"/>
      <c r="K1013" s="566"/>
      <c r="L1013" s="459"/>
      <c r="M1013" s="566"/>
      <c r="N1013" s="459"/>
      <c r="O1013" s="459"/>
      <c r="P1013" s="4"/>
    </row>
    <row r="1014" spans="3:16">
      <c r="C1014" s="449">
        <f>IF(D987="","-",+C1013+1)</f>
        <v>2035</v>
      </c>
      <c r="D1014" s="412">
        <f t="shared" si="67"/>
        <v>124259.95884615408</v>
      </c>
      <c r="E1014" s="456">
        <f t="shared" si="70"/>
        <v>6871.5184615384624</v>
      </c>
      <c r="F1014" s="412">
        <f t="shared" si="65"/>
        <v>117388.44038461562</v>
      </c>
      <c r="G1014" s="851">
        <f t="shared" si="68"/>
        <v>20392.494363745642</v>
      </c>
      <c r="H1014" s="854">
        <f t="shared" si="69"/>
        <v>20392.494363745642</v>
      </c>
      <c r="I1014" s="453">
        <f t="shared" si="66"/>
        <v>0</v>
      </c>
      <c r="J1014" s="453"/>
      <c r="K1014" s="566"/>
      <c r="L1014" s="459"/>
      <c r="M1014" s="566"/>
      <c r="N1014" s="459"/>
      <c r="O1014" s="459"/>
      <c r="P1014" s="4"/>
    </row>
    <row r="1015" spans="3:16">
      <c r="C1015" s="449">
        <f>IF(D987="","-",+C1014+1)</f>
        <v>2036</v>
      </c>
      <c r="D1015" s="412">
        <f t="shared" si="67"/>
        <v>117388.44038461562</v>
      </c>
      <c r="E1015" s="456">
        <f t="shared" si="70"/>
        <v>6871.5184615384624</v>
      </c>
      <c r="F1015" s="412">
        <f t="shared" si="65"/>
        <v>110516.92192307716</v>
      </c>
      <c r="G1015" s="851">
        <f t="shared" si="68"/>
        <v>19623.528909591681</v>
      </c>
      <c r="H1015" s="854">
        <f t="shared" si="69"/>
        <v>19623.528909591681</v>
      </c>
      <c r="I1015" s="453">
        <f t="shared" si="66"/>
        <v>0</v>
      </c>
      <c r="J1015" s="453"/>
      <c r="K1015" s="566"/>
      <c r="L1015" s="459"/>
      <c r="M1015" s="566"/>
      <c r="N1015" s="459"/>
      <c r="O1015" s="459"/>
      <c r="P1015" s="4"/>
    </row>
    <row r="1016" spans="3:16">
      <c r="C1016" s="449">
        <f>IF(D987="","-",+C1015+1)</f>
        <v>2037</v>
      </c>
      <c r="D1016" s="412">
        <f t="shared" si="67"/>
        <v>110516.92192307716</v>
      </c>
      <c r="E1016" s="456">
        <f t="shared" si="70"/>
        <v>6871.5184615384624</v>
      </c>
      <c r="F1016" s="412">
        <f t="shared" si="65"/>
        <v>103645.40346153869</v>
      </c>
      <c r="G1016" s="851">
        <f t="shared" si="68"/>
        <v>18854.563455437717</v>
      </c>
      <c r="H1016" s="854">
        <f t="shared" si="69"/>
        <v>18854.563455437717</v>
      </c>
      <c r="I1016" s="453">
        <f t="shared" si="66"/>
        <v>0</v>
      </c>
      <c r="J1016" s="453"/>
      <c r="K1016" s="566"/>
      <c r="L1016" s="459"/>
      <c r="M1016" s="566"/>
      <c r="N1016" s="459"/>
      <c r="O1016" s="459"/>
      <c r="P1016" s="4"/>
    </row>
    <row r="1017" spans="3:16">
      <c r="C1017" s="449">
        <f>IF(D987="","-",+C1016+1)</f>
        <v>2038</v>
      </c>
      <c r="D1017" s="412">
        <f t="shared" si="67"/>
        <v>103645.40346153869</v>
      </c>
      <c r="E1017" s="456">
        <f t="shared" si="70"/>
        <v>6871.5184615384624</v>
      </c>
      <c r="F1017" s="412">
        <f t="shared" si="65"/>
        <v>96773.885000000228</v>
      </c>
      <c r="G1017" s="851">
        <f t="shared" si="68"/>
        <v>18085.598001283754</v>
      </c>
      <c r="H1017" s="854">
        <f t="shared" si="69"/>
        <v>18085.598001283754</v>
      </c>
      <c r="I1017" s="453">
        <f t="shared" si="66"/>
        <v>0</v>
      </c>
      <c r="J1017" s="453"/>
      <c r="K1017" s="566"/>
      <c r="L1017" s="459"/>
      <c r="M1017" s="566"/>
      <c r="N1017" s="459"/>
      <c r="O1017" s="459"/>
      <c r="P1017" s="4"/>
    </row>
    <row r="1018" spans="3:16">
      <c r="C1018" s="449">
        <f>IF(D987="","-",+C1017+1)</f>
        <v>2039</v>
      </c>
      <c r="D1018" s="412">
        <f t="shared" si="67"/>
        <v>96773.885000000228</v>
      </c>
      <c r="E1018" s="456">
        <f t="shared" si="70"/>
        <v>6871.5184615384624</v>
      </c>
      <c r="F1018" s="412">
        <f t="shared" si="65"/>
        <v>89902.366538461763</v>
      </c>
      <c r="G1018" s="851">
        <f t="shared" si="68"/>
        <v>17316.632547129797</v>
      </c>
      <c r="H1018" s="854">
        <f t="shared" si="69"/>
        <v>17316.632547129797</v>
      </c>
      <c r="I1018" s="453">
        <f t="shared" si="66"/>
        <v>0</v>
      </c>
      <c r="J1018" s="453"/>
      <c r="K1018" s="566"/>
      <c r="L1018" s="459"/>
      <c r="M1018" s="566"/>
      <c r="N1018" s="459"/>
      <c r="O1018" s="459"/>
      <c r="P1018" s="4"/>
    </row>
    <row r="1019" spans="3:16">
      <c r="C1019" s="449">
        <f>IF(D987="","-",+C1018+1)</f>
        <v>2040</v>
      </c>
      <c r="D1019" s="412">
        <f t="shared" si="67"/>
        <v>89902.366538461763</v>
      </c>
      <c r="E1019" s="456">
        <f t="shared" si="70"/>
        <v>6871.5184615384624</v>
      </c>
      <c r="F1019" s="412">
        <f t="shared" si="65"/>
        <v>83030.848076923299</v>
      </c>
      <c r="G1019" s="851">
        <f t="shared" si="68"/>
        <v>16547.667092975833</v>
      </c>
      <c r="H1019" s="854">
        <f t="shared" si="69"/>
        <v>16547.667092975833</v>
      </c>
      <c r="I1019" s="453">
        <f t="shared" si="66"/>
        <v>0</v>
      </c>
      <c r="J1019" s="453"/>
      <c r="K1019" s="566"/>
      <c r="L1019" s="459"/>
      <c r="M1019" s="566"/>
      <c r="N1019" s="459"/>
      <c r="O1019" s="459"/>
      <c r="P1019" s="4"/>
    </row>
    <row r="1020" spans="3:16">
      <c r="C1020" s="449">
        <f>IF(D987="","-",+C1019+1)</f>
        <v>2041</v>
      </c>
      <c r="D1020" s="412">
        <f t="shared" si="67"/>
        <v>83030.848076923299</v>
      </c>
      <c r="E1020" s="456">
        <f t="shared" si="70"/>
        <v>6871.5184615384624</v>
      </c>
      <c r="F1020" s="412">
        <f t="shared" si="65"/>
        <v>76159.329615384835</v>
      </c>
      <c r="G1020" s="851">
        <f t="shared" si="68"/>
        <v>15778.701638821873</v>
      </c>
      <c r="H1020" s="854">
        <f t="shared" si="69"/>
        <v>15778.701638821873</v>
      </c>
      <c r="I1020" s="453">
        <f t="shared" si="66"/>
        <v>0</v>
      </c>
      <c r="J1020" s="453"/>
      <c r="K1020" s="566"/>
      <c r="L1020" s="459"/>
      <c r="M1020" s="566"/>
      <c r="N1020" s="459"/>
      <c r="O1020" s="459"/>
      <c r="P1020" s="4"/>
    </row>
    <row r="1021" spans="3:16">
      <c r="C1021" s="449">
        <f>IF(D987="","-",+C1020+1)</f>
        <v>2042</v>
      </c>
      <c r="D1021" s="412">
        <f t="shared" si="67"/>
        <v>76159.329615384835</v>
      </c>
      <c r="E1021" s="456">
        <f t="shared" si="70"/>
        <v>6871.5184615384624</v>
      </c>
      <c r="F1021" s="412">
        <f t="shared" si="65"/>
        <v>69287.811153846371</v>
      </c>
      <c r="G1021" s="860">
        <f t="shared" si="68"/>
        <v>15009.736184667909</v>
      </c>
      <c r="H1021" s="854">
        <f t="shared" si="69"/>
        <v>15009.736184667909</v>
      </c>
      <c r="I1021" s="453">
        <f t="shared" si="66"/>
        <v>0</v>
      </c>
      <c r="J1021" s="453"/>
      <c r="K1021" s="566"/>
      <c r="L1021" s="459"/>
      <c r="M1021" s="566"/>
      <c r="N1021" s="459"/>
      <c r="O1021" s="459"/>
      <c r="P1021" s="4"/>
    </row>
    <row r="1022" spans="3:16">
      <c r="C1022" s="449">
        <f>IF(D987="","-",+C1021+1)</f>
        <v>2043</v>
      </c>
      <c r="D1022" s="412">
        <f t="shared" si="67"/>
        <v>69287.811153846371</v>
      </c>
      <c r="E1022" s="456">
        <f t="shared" si="70"/>
        <v>6871.5184615384624</v>
      </c>
      <c r="F1022" s="412">
        <f t="shared" si="65"/>
        <v>62416.292692307907</v>
      </c>
      <c r="G1022" s="851">
        <f t="shared" si="68"/>
        <v>14240.770730513948</v>
      </c>
      <c r="H1022" s="854">
        <f t="shared" si="69"/>
        <v>14240.770730513948</v>
      </c>
      <c r="I1022" s="453">
        <f t="shared" si="66"/>
        <v>0</v>
      </c>
      <c r="J1022" s="453"/>
      <c r="K1022" s="566"/>
      <c r="L1022" s="459"/>
      <c r="M1022" s="566"/>
      <c r="N1022" s="459"/>
      <c r="O1022" s="459"/>
      <c r="P1022" s="4"/>
    </row>
    <row r="1023" spans="3:16">
      <c r="C1023" s="449">
        <f>IF(D987="","-",+C1022+1)</f>
        <v>2044</v>
      </c>
      <c r="D1023" s="412">
        <f t="shared" si="67"/>
        <v>62416.292692307907</v>
      </c>
      <c r="E1023" s="456">
        <f t="shared" si="70"/>
        <v>6871.5184615384624</v>
      </c>
      <c r="F1023" s="412">
        <f t="shared" si="65"/>
        <v>55544.774230769443</v>
      </c>
      <c r="G1023" s="851">
        <f t="shared" si="68"/>
        <v>13471.805276359988</v>
      </c>
      <c r="H1023" s="854">
        <f t="shared" si="69"/>
        <v>13471.805276359988</v>
      </c>
      <c r="I1023" s="453">
        <f t="shared" si="66"/>
        <v>0</v>
      </c>
      <c r="J1023" s="453"/>
      <c r="K1023" s="566"/>
      <c r="L1023" s="459"/>
      <c r="M1023" s="566"/>
      <c r="N1023" s="459"/>
      <c r="O1023" s="459"/>
      <c r="P1023" s="4"/>
    </row>
    <row r="1024" spans="3:16">
      <c r="C1024" s="449">
        <f>IF(D987="","-",+C1023+1)</f>
        <v>2045</v>
      </c>
      <c r="D1024" s="412">
        <f t="shared" si="67"/>
        <v>55544.774230769443</v>
      </c>
      <c r="E1024" s="456">
        <f t="shared" si="70"/>
        <v>6871.5184615384624</v>
      </c>
      <c r="F1024" s="412">
        <f t="shared" si="65"/>
        <v>48673.255769230978</v>
      </c>
      <c r="G1024" s="851">
        <f t="shared" si="68"/>
        <v>12702.839822206026</v>
      </c>
      <c r="H1024" s="854">
        <f t="shared" si="69"/>
        <v>12702.839822206026</v>
      </c>
      <c r="I1024" s="453">
        <f t="shared" si="66"/>
        <v>0</v>
      </c>
      <c r="J1024" s="453"/>
      <c r="K1024" s="566"/>
      <c r="L1024" s="459"/>
      <c r="M1024" s="566"/>
      <c r="N1024" s="459"/>
      <c r="O1024" s="459"/>
      <c r="P1024" s="4"/>
    </row>
    <row r="1025" spans="3:16">
      <c r="C1025" s="449">
        <f>IF(D987="","-",+C1024+1)</f>
        <v>2046</v>
      </c>
      <c r="D1025" s="412">
        <f t="shared" si="67"/>
        <v>48673.255769230978</v>
      </c>
      <c r="E1025" s="456">
        <f t="shared" si="70"/>
        <v>6871.5184615384624</v>
      </c>
      <c r="F1025" s="412">
        <f t="shared" si="65"/>
        <v>41801.737307692514</v>
      </c>
      <c r="G1025" s="851">
        <f t="shared" si="68"/>
        <v>11933.874368052064</v>
      </c>
      <c r="H1025" s="854">
        <f t="shared" si="69"/>
        <v>11933.874368052064</v>
      </c>
      <c r="I1025" s="453">
        <f t="shared" si="66"/>
        <v>0</v>
      </c>
      <c r="J1025" s="453"/>
      <c r="K1025" s="566"/>
      <c r="L1025" s="459"/>
      <c r="M1025" s="566"/>
      <c r="N1025" s="459"/>
      <c r="O1025" s="459"/>
      <c r="P1025" s="4"/>
    </row>
    <row r="1026" spans="3:16">
      <c r="C1026" s="449">
        <f>IF(D987="","-",+C1025+1)</f>
        <v>2047</v>
      </c>
      <c r="D1026" s="412">
        <f t="shared" si="67"/>
        <v>41801.737307692514</v>
      </c>
      <c r="E1026" s="456">
        <f t="shared" si="70"/>
        <v>6871.5184615384624</v>
      </c>
      <c r="F1026" s="412">
        <f t="shared" si="65"/>
        <v>34930.21884615405</v>
      </c>
      <c r="G1026" s="851">
        <f t="shared" si="68"/>
        <v>11164.908913898103</v>
      </c>
      <c r="H1026" s="854">
        <f t="shared" si="69"/>
        <v>11164.908913898103</v>
      </c>
      <c r="I1026" s="453">
        <f t="shared" si="66"/>
        <v>0</v>
      </c>
      <c r="J1026" s="453"/>
      <c r="K1026" s="566"/>
      <c r="L1026" s="459"/>
      <c r="M1026" s="566"/>
      <c r="N1026" s="459"/>
      <c r="O1026" s="459"/>
      <c r="P1026" s="4"/>
    </row>
    <row r="1027" spans="3:16">
      <c r="C1027" s="449">
        <f>IF(D987="","-",+C1026+1)</f>
        <v>2048</v>
      </c>
      <c r="D1027" s="412">
        <f t="shared" si="67"/>
        <v>34930.21884615405</v>
      </c>
      <c r="E1027" s="456">
        <f t="shared" si="70"/>
        <v>6871.5184615384624</v>
      </c>
      <c r="F1027" s="412">
        <f t="shared" si="65"/>
        <v>28058.700384615586</v>
      </c>
      <c r="G1027" s="851">
        <f t="shared" si="68"/>
        <v>10395.943459744141</v>
      </c>
      <c r="H1027" s="854">
        <f t="shared" si="69"/>
        <v>10395.943459744141</v>
      </c>
      <c r="I1027" s="453">
        <f t="shared" si="66"/>
        <v>0</v>
      </c>
      <c r="J1027" s="453"/>
      <c r="K1027" s="566"/>
      <c r="L1027" s="459"/>
      <c r="M1027" s="566"/>
      <c r="N1027" s="459"/>
      <c r="O1027" s="459"/>
      <c r="P1027" s="4"/>
    </row>
    <row r="1028" spans="3:16">
      <c r="C1028" s="449">
        <f>IF(D987="","-",+C1027+1)</f>
        <v>2049</v>
      </c>
      <c r="D1028" s="412">
        <f t="shared" si="67"/>
        <v>28058.700384615586</v>
      </c>
      <c r="E1028" s="456">
        <f t="shared" si="70"/>
        <v>6871.5184615384624</v>
      </c>
      <c r="F1028" s="412">
        <f t="shared" si="65"/>
        <v>21187.181923077122</v>
      </c>
      <c r="G1028" s="851">
        <f t="shared" si="68"/>
        <v>9626.9780055901792</v>
      </c>
      <c r="H1028" s="854">
        <f t="shared" si="69"/>
        <v>9626.9780055901792</v>
      </c>
      <c r="I1028" s="453">
        <f t="shared" si="66"/>
        <v>0</v>
      </c>
      <c r="J1028" s="453"/>
      <c r="K1028" s="566"/>
      <c r="L1028" s="459"/>
      <c r="M1028" s="566"/>
      <c r="N1028" s="459"/>
      <c r="O1028" s="459"/>
      <c r="P1028" s="4"/>
    </row>
    <row r="1029" spans="3:16">
      <c r="C1029" s="449">
        <f>IF(D987="","-",+C1028+1)</f>
        <v>2050</v>
      </c>
      <c r="D1029" s="412">
        <f t="shared" si="67"/>
        <v>21187.181923077122</v>
      </c>
      <c r="E1029" s="456">
        <f t="shared" si="70"/>
        <v>6871.5184615384624</v>
      </c>
      <c r="F1029" s="412">
        <f t="shared" si="65"/>
        <v>14315.663461538659</v>
      </c>
      <c r="G1029" s="851">
        <f t="shared" si="68"/>
        <v>8858.0125514362171</v>
      </c>
      <c r="H1029" s="854">
        <f t="shared" si="69"/>
        <v>8858.0125514362171</v>
      </c>
      <c r="I1029" s="453">
        <f t="shared" si="66"/>
        <v>0</v>
      </c>
      <c r="J1029" s="453"/>
      <c r="K1029" s="566"/>
      <c r="L1029" s="459"/>
      <c r="M1029" s="566"/>
      <c r="N1029" s="459"/>
      <c r="O1029" s="459"/>
      <c r="P1029" s="4"/>
    </row>
    <row r="1030" spans="3:16">
      <c r="C1030" s="449">
        <f>IF(D987="","-",+C1029+1)</f>
        <v>2051</v>
      </c>
      <c r="D1030" s="412">
        <f t="shared" si="67"/>
        <v>14315.663461538659</v>
      </c>
      <c r="E1030" s="456">
        <f t="shared" si="70"/>
        <v>6871.5184615384624</v>
      </c>
      <c r="F1030" s="412">
        <f t="shared" si="65"/>
        <v>7444.1450000001969</v>
      </c>
      <c r="G1030" s="851">
        <f t="shared" si="68"/>
        <v>8089.0470972822568</v>
      </c>
      <c r="H1030" s="854">
        <f t="shared" si="69"/>
        <v>8089.0470972822568</v>
      </c>
      <c r="I1030" s="453">
        <f t="shared" si="66"/>
        <v>0</v>
      </c>
      <c r="J1030" s="453"/>
      <c r="K1030" s="566"/>
      <c r="L1030" s="459"/>
      <c r="M1030" s="566"/>
      <c r="N1030" s="459"/>
      <c r="O1030" s="459"/>
      <c r="P1030" s="4"/>
    </row>
    <row r="1031" spans="3:16">
      <c r="C1031" s="449">
        <f>IF(D987="","-",+C1030+1)</f>
        <v>2052</v>
      </c>
      <c r="D1031" s="412">
        <f t="shared" si="67"/>
        <v>7444.1450000001969</v>
      </c>
      <c r="E1031" s="456">
        <f t="shared" si="70"/>
        <v>6871.5184615384624</v>
      </c>
      <c r="F1031" s="412">
        <f t="shared" si="65"/>
        <v>572.62653846173453</v>
      </c>
      <c r="G1031" s="851">
        <f t="shared" si="68"/>
        <v>7320.0816431282947</v>
      </c>
      <c r="H1031" s="854">
        <f t="shared" si="69"/>
        <v>7320.0816431282947</v>
      </c>
      <c r="I1031" s="453">
        <f t="shared" si="66"/>
        <v>0</v>
      </c>
      <c r="J1031" s="453"/>
      <c r="K1031" s="566"/>
      <c r="L1031" s="459"/>
      <c r="M1031" s="566"/>
      <c r="N1031" s="459"/>
      <c r="O1031" s="459"/>
      <c r="P1031" s="4"/>
    </row>
    <row r="1032" spans="3:16">
      <c r="C1032" s="449">
        <f>IF(D987="","-",+C1031+1)</f>
        <v>2053</v>
      </c>
      <c r="D1032" s="412">
        <f t="shared" si="67"/>
        <v>572.62653846173453</v>
      </c>
      <c r="E1032" s="456">
        <f t="shared" si="70"/>
        <v>572.62653846173453</v>
      </c>
      <c r="F1032" s="412">
        <f t="shared" si="65"/>
        <v>0</v>
      </c>
      <c r="G1032" s="851">
        <f t="shared" si="68"/>
        <v>604.6667657181606</v>
      </c>
      <c r="H1032" s="854">
        <f t="shared" si="69"/>
        <v>604.6667657181606</v>
      </c>
      <c r="I1032" s="453">
        <f t="shared" si="66"/>
        <v>0</v>
      </c>
      <c r="J1032" s="453"/>
      <c r="K1032" s="566"/>
      <c r="L1032" s="459"/>
      <c r="M1032" s="566"/>
      <c r="N1032" s="459"/>
      <c r="O1032" s="459"/>
      <c r="P1032" s="4"/>
    </row>
    <row r="1033" spans="3:16">
      <c r="C1033" s="449">
        <f>IF(D987="","-",+C1032+1)</f>
        <v>2054</v>
      </c>
      <c r="D1033" s="412">
        <f t="shared" si="67"/>
        <v>0</v>
      </c>
      <c r="E1033" s="456">
        <f t="shared" si="70"/>
        <v>0</v>
      </c>
      <c r="F1033" s="412">
        <f t="shared" si="65"/>
        <v>0</v>
      </c>
      <c r="G1033" s="851">
        <f t="shared" si="68"/>
        <v>0</v>
      </c>
      <c r="H1033" s="854">
        <f t="shared" si="69"/>
        <v>0</v>
      </c>
      <c r="I1033" s="453">
        <f t="shared" si="66"/>
        <v>0</v>
      </c>
      <c r="J1033" s="453"/>
      <c r="K1033" s="566"/>
      <c r="L1033" s="459"/>
      <c r="M1033" s="566"/>
      <c r="N1033" s="459"/>
      <c r="O1033" s="459"/>
      <c r="P1033" s="4"/>
    </row>
    <row r="1034" spans="3:16">
      <c r="C1034" s="449">
        <f>IF(D987="","-",+C1033+1)</f>
        <v>2055</v>
      </c>
      <c r="D1034" s="412">
        <f t="shared" si="67"/>
        <v>0</v>
      </c>
      <c r="E1034" s="456">
        <f t="shared" si="70"/>
        <v>0</v>
      </c>
      <c r="F1034" s="412">
        <f t="shared" si="65"/>
        <v>0</v>
      </c>
      <c r="G1034" s="851">
        <f t="shared" si="68"/>
        <v>0</v>
      </c>
      <c r="H1034" s="854">
        <f t="shared" si="69"/>
        <v>0</v>
      </c>
      <c r="I1034" s="453">
        <f t="shared" si="66"/>
        <v>0</v>
      </c>
      <c r="J1034" s="453"/>
      <c r="K1034" s="566"/>
      <c r="L1034" s="459"/>
      <c r="M1034" s="566"/>
      <c r="N1034" s="459"/>
      <c r="O1034" s="459"/>
      <c r="P1034" s="4"/>
    </row>
    <row r="1035" spans="3:16">
      <c r="C1035" s="449">
        <f>IF(D987="","-",+C1034+1)</f>
        <v>2056</v>
      </c>
      <c r="D1035" s="412">
        <f t="shared" si="67"/>
        <v>0</v>
      </c>
      <c r="E1035" s="456">
        <f t="shared" si="70"/>
        <v>0</v>
      </c>
      <c r="F1035" s="412">
        <f t="shared" si="65"/>
        <v>0</v>
      </c>
      <c r="G1035" s="851">
        <f t="shared" si="68"/>
        <v>0</v>
      </c>
      <c r="H1035" s="854">
        <f t="shared" si="69"/>
        <v>0</v>
      </c>
      <c r="I1035" s="453">
        <f t="shared" si="66"/>
        <v>0</v>
      </c>
      <c r="J1035" s="453"/>
      <c r="K1035" s="566"/>
      <c r="L1035" s="459"/>
      <c r="M1035" s="566"/>
      <c r="N1035" s="459"/>
      <c r="O1035" s="459"/>
      <c r="P1035" s="4"/>
    </row>
    <row r="1036" spans="3:16">
      <c r="C1036" s="449">
        <f>IF(D987="","-",+C1035+1)</f>
        <v>2057</v>
      </c>
      <c r="D1036" s="412">
        <f t="shared" si="67"/>
        <v>0</v>
      </c>
      <c r="E1036" s="456">
        <f t="shared" si="70"/>
        <v>0</v>
      </c>
      <c r="F1036" s="412">
        <f t="shared" si="65"/>
        <v>0</v>
      </c>
      <c r="G1036" s="851">
        <f t="shared" si="68"/>
        <v>0</v>
      </c>
      <c r="H1036" s="854">
        <f t="shared" si="69"/>
        <v>0</v>
      </c>
      <c r="I1036" s="453">
        <f t="shared" si="66"/>
        <v>0</v>
      </c>
      <c r="J1036" s="453"/>
      <c r="K1036" s="566"/>
      <c r="L1036" s="459"/>
      <c r="M1036" s="566"/>
      <c r="N1036" s="459"/>
      <c r="O1036" s="459"/>
      <c r="P1036" s="4"/>
    </row>
    <row r="1037" spans="3:16">
      <c r="C1037" s="449">
        <f>IF(D987="","-",+C1036+1)</f>
        <v>2058</v>
      </c>
      <c r="D1037" s="412">
        <f t="shared" si="67"/>
        <v>0</v>
      </c>
      <c r="E1037" s="456">
        <f t="shared" si="70"/>
        <v>0</v>
      </c>
      <c r="F1037" s="412">
        <f t="shared" si="65"/>
        <v>0</v>
      </c>
      <c r="G1037" s="851">
        <f t="shared" si="68"/>
        <v>0</v>
      </c>
      <c r="H1037" s="854">
        <f t="shared" si="69"/>
        <v>0</v>
      </c>
      <c r="I1037" s="453">
        <f t="shared" si="66"/>
        <v>0</v>
      </c>
      <c r="J1037" s="453"/>
      <c r="K1037" s="566"/>
      <c r="L1037" s="459"/>
      <c r="M1037" s="566"/>
      <c r="N1037" s="459"/>
      <c r="O1037" s="459"/>
      <c r="P1037" s="4"/>
    </row>
    <row r="1038" spans="3:16">
      <c r="C1038" s="449">
        <f>IF(D987="","-",+C1037+1)</f>
        <v>2059</v>
      </c>
      <c r="D1038" s="412">
        <f t="shared" si="67"/>
        <v>0</v>
      </c>
      <c r="E1038" s="456">
        <f t="shared" si="70"/>
        <v>0</v>
      </c>
      <c r="F1038" s="412">
        <f t="shared" si="65"/>
        <v>0</v>
      </c>
      <c r="G1038" s="851">
        <f t="shared" si="68"/>
        <v>0</v>
      </c>
      <c r="H1038" s="854">
        <f t="shared" si="69"/>
        <v>0</v>
      </c>
      <c r="I1038" s="453">
        <f t="shared" si="66"/>
        <v>0</v>
      </c>
      <c r="J1038" s="453"/>
      <c r="K1038" s="566"/>
      <c r="L1038" s="459"/>
      <c r="M1038" s="566"/>
      <c r="N1038" s="459"/>
      <c r="O1038" s="459"/>
      <c r="P1038" s="4"/>
    </row>
    <row r="1039" spans="3:16">
      <c r="C1039" s="449">
        <f>IF(D987="","-",+C1038+1)</f>
        <v>2060</v>
      </c>
      <c r="D1039" s="412">
        <f t="shared" si="67"/>
        <v>0</v>
      </c>
      <c r="E1039" s="456">
        <f t="shared" si="70"/>
        <v>0</v>
      </c>
      <c r="F1039" s="412">
        <f t="shared" si="65"/>
        <v>0</v>
      </c>
      <c r="G1039" s="851">
        <f t="shared" si="68"/>
        <v>0</v>
      </c>
      <c r="H1039" s="854">
        <f t="shared" si="69"/>
        <v>0</v>
      </c>
      <c r="I1039" s="453">
        <f t="shared" si="66"/>
        <v>0</v>
      </c>
      <c r="J1039" s="453"/>
      <c r="K1039" s="566"/>
      <c r="L1039" s="459"/>
      <c r="M1039" s="566"/>
      <c r="N1039" s="459"/>
      <c r="O1039" s="459"/>
      <c r="P1039" s="4"/>
    </row>
    <row r="1040" spans="3:16">
      <c r="C1040" s="449">
        <f>IF(D987="","-",+C1039+1)</f>
        <v>2061</v>
      </c>
      <c r="D1040" s="412">
        <f t="shared" si="67"/>
        <v>0</v>
      </c>
      <c r="E1040" s="456">
        <f t="shared" si="70"/>
        <v>0</v>
      </c>
      <c r="F1040" s="412">
        <f t="shared" si="65"/>
        <v>0</v>
      </c>
      <c r="G1040" s="851">
        <f t="shared" si="68"/>
        <v>0</v>
      </c>
      <c r="H1040" s="854">
        <f t="shared" si="69"/>
        <v>0</v>
      </c>
      <c r="I1040" s="453">
        <f t="shared" si="66"/>
        <v>0</v>
      </c>
      <c r="J1040" s="453"/>
      <c r="K1040" s="566"/>
      <c r="L1040" s="459"/>
      <c r="M1040" s="566"/>
      <c r="N1040" s="459"/>
      <c r="O1040" s="459"/>
      <c r="P1040" s="4"/>
    </row>
    <row r="1041" spans="3:16">
      <c r="C1041" s="449">
        <f>IF(D987="","-",+C1040+1)</f>
        <v>2062</v>
      </c>
      <c r="D1041" s="412">
        <f t="shared" si="67"/>
        <v>0</v>
      </c>
      <c r="E1041" s="456">
        <f t="shared" si="70"/>
        <v>0</v>
      </c>
      <c r="F1041" s="412">
        <f t="shared" si="65"/>
        <v>0</v>
      </c>
      <c r="G1041" s="851">
        <f t="shared" si="68"/>
        <v>0</v>
      </c>
      <c r="H1041" s="854">
        <f t="shared" si="69"/>
        <v>0</v>
      </c>
      <c r="I1041" s="453">
        <f t="shared" si="66"/>
        <v>0</v>
      </c>
      <c r="J1041" s="453"/>
      <c r="K1041" s="566"/>
      <c r="L1041" s="459"/>
      <c r="M1041" s="566"/>
      <c r="N1041" s="459"/>
      <c r="O1041" s="459"/>
      <c r="P1041" s="4"/>
    </row>
    <row r="1042" spans="3:16">
      <c r="C1042" s="449">
        <f>IF(D987="","-",+C1041+1)</f>
        <v>2063</v>
      </c>
      <c r="D1042" s="412">
        <f t="shared" si="67"/>
        <v>0</v>
      </c>
      <c r="E1042" s="456">
        <f t="shared" si="70"/>
        <v>0</v>
      </c>
      <c r="F1042" s="412">
        <f t="shared" si="65"/>
        <v>0</v>
      </c>
      <c r="G1042" s="851">
        <f t="shared" si="68"/>
        <v>0</v>
      </c>
      <c r="H1042" s="854">
        <f t="shared" si="69"/>
        <v>0</v>
      </c>
      <c r="I1042" s="453">
        <f t="shared" si="66"/>
        <v>0</v>
      </c>
      <c r="J1042" s="453"/>
      <c r="K1042" s="566"/>
      <c r="L1042" s="459"/>
      <c r="M1042" s="566"/>
      <c r="N1042" s="459"/>
      <c r="O1042" s="459"/>
      <c r="P1042" s="4"/>
    </row>
    <row r="1043" spans="3:16">
      <c r="C1043" s="449">
        <f>IF(D987="","-",+C1042+1)</f>
        <v>2064</v>
      </c>
      <c r="D1043" s="412">
        <f t="shared" si="67"/>
        <v>0</v>
      </c>
      <c r="E1043" s="456">
        <f t="shared" si="70"/>
        <v>0</v>
      </c>
      <c r="F1043" s="412">
        <f t="shared" si="65"/>
        <v>0</v>
      </c>
      <c r="G1043" s="851">
        <f t="shared" si="68"/>
        <v>0</v>
      </c>
      <c r="H1043" s="854">
        <f t="shared" si="69"/>
        <v>0</v>
      </c>
      <c r="I1043" s="453">
        <f t="shared" si="66"/>
        <v>0</v>
      </c>
      <c r="J1043" s="453"/>
      <c r="K1043" s="566"/>
      <c r="L1043" s="459"/>
      <c r="M1043" s="566"/>
      <c r="N1043" s="459"/>
      <c r="O1043" s="459"/>
      <c r="P1043" s="4"/>
    </row>
    <row r="1044" spans="3:16">
      <c r="C1044" s="449">
        <f>IF(D987="","-",+C1043+1)</f>
        <v>2065</v>
      </c>
      <c r="D1044" s="412">
        <f t="shared" si="67"/>
        <v>0</v>
      </c>
      <c r="E1044" s="456">
        <f t="shared" si="70"/>
        <v>0</v>
      </c>
      <c r="F1044" s="412">
        <f t="shared" si="65"/>
        <v>0</v>
      </c>
      <c r="G1044" s="851">
        <f t="shared" si="68"/>
        <v>0</v>
      </c>
      <c r="H1044" s="854">
        <f t="shared" si="69"/>
        <v>0</v>
      </c>
      <c r="I1044" s="453">
        <f t="shared" si="66"/>
        <v>0</v>
      </c>
      <c r="J1044" s="453"/>
      <c r="K1044" s="566"/>
      <c r="L1044" s="459"/>
      <c r="M1044" s="566"/>
      <c r="N1044" s="459"/>
      <c r="O1044" s="459"/>
      <c r="P1044" s="4"/>
    </row>
    <row r="1045" spans="3:16">
      <c r="C1045" s="449">
        <f>IF(D987="","-",+C1044+1)</f>
        <v>2066</v>
      </c>
      <c r="D1045" s="412">
        <f t="shared" si="67"/>
        <v>0</v>
      </c>
      <c r="E1045" s="456">
        <f t="shared" si="70"/>
        <v>0</v>
      </c>
      <c r="F1045" s="412">
        <f t="shared" si="65"/>
        <v>0</v>
      </c>
      <c r="G1045" s="851">
        <f t="shared" si="68"/>
        <v>0</v>
      </c>
      <c r="H1045" s="854">
        <f t="shared" si="69"/>
        <v>0</v>
      </c>
      <c r="I1045" s="453">
        <f t="shared" si="66"/>
        <v>0</v>
      </c>
      <c r="J1045" s="453"/>
      <c r="K1045" s="566"/>
      <c r="L1045" s="459"/>
      <c r="M1045" s="566"/>
      <c r="N1045" s="459"/>
      <c r="O1045" s="459"/>
      <c r="P1045" s="4"/>
    </row>
    <row r="1046" spans="3:16">
      <c r="C1046" s="449">
        <f>IF(D987="","-",+C1045+1)</f>
        <v>2067</v>
      </c>
      <c r="D1046" s="412">
        <f t="shared" si="67"/>
        <v>0</v>
      </c>
      <c r="E1046" s="456">
        <f t="shared" si="70"/>
        <v>0</v>
      </c>
      <c r="F1046" s="412">
        <f t="shared" si="65"/>
        <v>0</v>
      </c>
      <c r="G1046" s="851">
        <f t="shared" si="68"/>
        <v>0</v>
      </c>
      <c r="H1046" s="854">
        <f t="shared" si="69"/>
        <v>0</v>
      </c>
      <c r="I1046" s="453">
        <f t="shared" si="66"/>
        <v>0</v>
      </c>
      <c r="J1046" s="453"/>
      <c r="K1046" s="566"/>
      <c r="L1046" s="459"/>
      <c r="M1046" s="566"/>
      <c r="N1046" s="459"/>
      <c r="O1046" s="459"/>
      <c r="P1046" s="4"/>
    </row>
    <row r="1047" spans="3:16">
      <c r="C1047" s="449">
        <f>IF(D987="","-",+C1046+1)</f>
        <v>2068</v>
      </c>
      <c r="D1047" s="412">
        <f t="shared" si="67"/>
        <v>0</v>
      </c>
      <c r="E1047" s="456">
        <f t="shared" si="70"/>
        <v>0</v>
      </c>
      <c r="F1047" s="412">
        <f t="shared" si="65"/>
        <v>0</v>
      </c>
      <c r="G1047" s="851">
        <f t="shared" si="68"/>
        <v>0</v>
      </c>
      <c r="H1047" s="854">
        <f t="shared" si="69"/>
        <v>0</v>
      </c>
      <c r="I1047" s="453">
        <f t="shared" si="66"/>
        <v>0</v>
      </c>
      <c r="J1047" s="453"/>
      <c r="K1047" s="566"/>
      <c r="L1047" s="459"/>
      <c r="M1047" s="566"/>
      <c r="N1047" s="459"/>
      <c r="O1047" s="459"/>
      <c r="P1047" s="4"/>
    </row>
    <row r="1048" spans="3:16">
      <c r="C1048" s="449">
        <f>IF(D987="","-",+C1047+1)</f>
        <v>2069</v>
      </c>
      <c r="D1048" s="412">
        <f t="shared" si="67"/>
        <v>0</v>
      </c>
      <c r="E1048" s="456">
        <f t="shared" si="70"/>
        <v>0</v>
      </c>
      <c r="F1048" s="412">
        <f t="shared" si="65"/>
        <v>0</v>
      </c>
      <c r="G1048" s="851">
        <f t="shared" si="68"/>
        <v>0</v>
      </c>
      <c r="H1048" s="854">
        <f t="shared" si="69"/>
        <v>0</v>
      </c>
      <c r="I1048" s="453">
        <f t="shared" si="66"/>
        <v>0</v>
      </c>
      <c r="J1048" s="453"/>
      <c r="K1048" s="566"/>
      <c r="L1048" s="459"/>
      <c r="M1048" s="566"/>
      <c r="N1048" s="459"/>
      <c r="O1048" s="459"/>
      <c r="P1048" s="4"/>
    </row>
    <row r="1049" spans="3:16">
      <c r="C1049" s="449">
        <f>IF(D987="","-",+C1048+1)</f>
        <v>2070</v>
      </c>
      <c r="D1049" s="412">
        <f t="shared" si="67"/>
        <v>0</v>
      </c>
      <c r="E1049" s="456">
        <f t="shared" si="70"/>
        <v>0</v>
      </c>
      <c r="F1049" s="412">
        <f t="shared" si="65"/>
        <v>0</v>
      </c>
      <c r="G1049" s="851">
        <f t="shared" si="68"/>
        <v>0</v>
      </c>
      <c r="H1049" s="854">
        <f t="shared" si="69"/>
        <v>0</v>
      </c>
      <c r="I1049" s="453">
        <f t="shared" si="66"/>
        <v>0</v>
      </c>
      <c r="J1049" s="453"/>
      <c r="K1049" s="566"/>
      <c r="L1049" s="459"/>
      <c r="M1049" s="566"/>
      <c r="N1049" s="459"/>
      <c r="O1049" s="459"/>
      <c r="P1049" s="4"/>
    </row>
    <row r="1050" spans="3:16">
      <c r="C1050" s="449">
        <f>IF(D987="","-",+C1049+1)</f>
        <v>2071</v>
      </c>
      <c r="D1050" s="412">
        <f t="shared" si="67"/>
        <v>0</v>
      </c>
      <c r="E1050" s="456">
        <f t="shared" si="70"/>
        <v>0</v>
      </c>
      <c r="F1050" s="412">
        <f t="shared" si="65"/>
        <v>0</v>
      </c>
      <c r="G1050" s="851">
        <f t="shared" si="68"/>
        <v>0</v>
      </c>
      <c r="H1050" s="854">
        <f t="shared" si="69"/>
        <v>0</v>
      </c>
      <c r="I1050" s="453">
        <f t="shared" si="66"/>
        <v>0</v>
      </c>
      <c r="J1050" s="453"/>
      <c r="K1050" s="566"/>
      <c r="L1050" s="459"/>
      <c r="M1050" s="566"/>
      <c r="N1050" s="459"/>
      <c r="O1050" s="459"/>
      <c r="P1050" s="4"/>
    </row>
    <row r="1051" spans="3:16">
      <c r="C1051" s="449">
        <f>IF(D987="","-",+C1050+1)</f>
        <v>2072</v>
      </c>
      <c r="D1051" s="412">
        <f t="shared" si="67"/>
        <v>0</v>
      </c>
      <c r="E1051" s="456">
        <f t="shared" si="70"/>
        <v>0</v>
      </c>
      <c r="F1051" s="412">
        <f t="shared" si="65"/>
        <v>0</v>
      </c>
      <c r="G1051" s="851">
        <f t="shared" si="68"/>
        <v>0</v>
      </c>
      <c r="H1051" s="854">
        <f t="shared" si="69"/>
        <v>0</v>
      </c>
      <c r="I1051" s="453">
        <f t="shared" si="66"/>
        <v>0</v>
      </c>
      <c r="J1051" s="453"/>
      <c r="K1051" s="566"/>
      <c r="L1051" s="459"/>
      <c r="M1051" s="566"/>
      <c r="N1051" s="459"/>
      <c r="O1051" s="459"/>
      <c r="P1051" s="4"/>
    </row>
    <row r="1052" spans="3:16" ht="13.5" thickBot="1">
      <c r="C1052" s="461">
        <f>IF(D987="","-",+C1051+1)</f>
        <v>2073</v>
      </c>
      <c r="D1052" s="462">
        <f t="shared" si="67"/>
        <v>0</v>
      </c>
      <c r="E1052" s="463">
        <f t="shared" si="70"/>
        <v>0</v>
      </c>
      <c r="F1052" s="462">
        <f t="shared" si="65"/>
        <v>0</v>
      </c>
      <c r="G1052" s="861">
        <f t="shared" si="68"/>
        <v>0</v>
      </c>
      <c r="H1052" s="861">
        <f t="shared" si="69"/>
        <v>0</v>
      </c>
      <c r="I1052" s="465">
        <f t="shared" si="66"/>
        <v>0</v>
      </c>
      <c r="J1052" s="453"/>
      <c r="K1052" s="567"/>
      <c r="L1052" s="467"/>
      <c r="M1052" s="567"/>
      <c r="N1052" s="467"/>
      <c r="O1052" s="467"/>
      <c r="P1052" s="4"/>
    </row>
    <row r="1053" spans="3:16">
      <c r="C1053" s="412" t="s">
        <v>288</v>
      </c>
      <c r="D1053" s="832"/>
      <c r="E1053" s="832">
        <f>SUM(E993:E1052)</f>
        <v>267989.21999999997</v>
      </c>
      <c r="F1053" s="832"/>
      <c r="G1053" s="832">
        <f>SUM(G993:G1052)</f>
        <v>855286.58561008889</v>
      </c>
      <c r="H1053" s="832">
        <f>SUM(H993:H1052)</f>
        <v>855286.58561008889</v>
      </c>
      <c r="I1053" s="832">
        <f>SUM(I993:I1052)</f>
        <v>0</v>
      </c>
      <c r="J1053" s="832"/>
      <c r="K1053" s="832"/>
      <c r="L1053" s="832"/>
      <c r="M1053" s="832"/>
      <c r="N1053" s="832"/>
      <c r="O1053" s="4"/>
      <c r="P1053" s="4"/>
    </row>
    <row r="1054" spans="3:16">
      <c r="D1054" s="67"/>
      <c r="E1054" s="4"/>
      <c r="F1054" s="4"/>
      <c r="G1054" s="4"/>
      <c r="H1054" s="831"/>
      <c r="I1054" s="831"/>
      <c r="J1054" s="832"/>
      <c r="K1054" s="831"/>
      <c r="L1054" s="831"/>
      <c r="M1054" s="831"/>
      <c r="N1054" s="831"/>
      <c r="O1054" s="4"/>
      <c r="P1054" s="4"/>
    </row>
    <row r="1055" spans="3:16">
      <c r="C1055" s="4" t="s">
        <v>601</v>
      </c>
      <c r="D1055" s="67"/>
      <c r="E1055" s="4"/>
      <c r="F1055" s="4"/>
      <c r="G1055" s="4"/>
      <c r="H1055" s="831"/>
      <c r="I1055" s="831"/>
      <c r="J1055" s="832"/>
      <c r="K1055" s="831"/>
      <c r="L1055" s="831"/>
      <c r="M1055" s="831"/>
      <c r="N1055" s="831"/>
      <c r="O1055" s="4"/>
      <c r="P1055" s="4"/>
    </row>
    <row r="1056" spans="3:16">
      <c r="D1056" s="67"/>
      <c r="E1056" s="4"/>
      <c r="F1056" s="4"/>
      <c r="G1056" s="4"/>
      <c r="H1056" s="831"/>
      <c r="I1056" s="831"/>
      <c r="J1056" s="832"/>
      <c r="K1056" s="831"/>
      <c r="L1056" s="831"/>
      <c r="M1056" s="831"/>
      <c r="N1056" s="831"/>
      <c r="O1056" s="4"/>
      <c r="P1056" s="4"/>
    </row>
    <row r="1057" spans="1:16">
      <c r="C1057" s="4" t="s">
        <v>602</v>
      </c>
      <c r="D1057" s="412"/>
      <c r="E1057" s="412"/>
      <c r="F1057" s="412"/>
      <c r="G1057" s="832"/>
      <c r="H1057" s="832"/>
      <c r="I1057" s="414"/>
      <c r="J1057" s="414"/>
      <c r="K1057" s="414"/>
      <c r="L1057" s="414"/>
      <c r="M1057" s="414"/>
      <c r="N1057" s="414"/>
      <c r="O1057" s="4"/>
      <c r="P1057" s="4"/>
    </row>
    <row r="1058" spans="1:16">
      <c r="C1058" s="4" t="s">
        <v>476</v>
      </c>
      <c r="D1058" s="412"/>
      <c r="E1058" s="412"/>
      <c r="F1058" s="412"/>
      <c r="G1058" s="832"/>
      <c r="H1058" s="832"/>
      <c r="I1058" s="414"/>
      <c r="J1058" s="414"/>
      <c r="K1058" s="414"/>
      <c r="L1058" s="414"/>
      <c r="M1058" s="414"/>
      <c r="N1058" s="414"/>
      <c r="O1058" s="4"/>
      <c r="P1058" s="4"/>
    </row>
    <row r="1059" spans="1:16">
      <c r="C1059" s="4" t="s">
        <v>289</v>
      </c>
      <c r="D1059" s="412"/>
      <c r="E1059" s="412"/>
      <c r="F1059" s="412"/>
      <c r="G1059" s="832"/>
      <c r="H1059" s="832"/>
      <c r="I1059" s="414"/>
      <c r="J1059" s="414"/>
      <c r="K1059" s="414"/>
      <c r="L1059" s="414"/>
      <c r="M1059" s="414"/>
      <c r="N1059" s="414"/>
      <c r="O1059" s="4"/>
      <c r="P1059" s="4"/>
    </row>
    <row r="1060" spans="1:16">
      <c r="C1060" s="413"/>
      <c r="D1060" s="412"/>
      <c r="E1060" s="412"/>
      <c r="F1060" s="412"/>
      <c r="G1060" s="832"/>
      <c r="H1060" s="832"/>
      <c r="I1060" s="414"/>
      <c r="J1060" s="414"/>
      <c r="K1060" s="414"/>
      <c r="L1060" s="414"/>
      <c r="M1060" s="414"/>
      <c r="N1060" s="414"/>
      <c r="O1060" s="4"/>
      <c r="P1060" s="4"/>
    </row>
    <row r="1061" spans="1:16">
      <c r="C1061" s="1279" t="s">
        <v>460</v>
      </c>
      <c r="D1061" s="1279"/>
      <c r="E1061" s="1279"/>
      <c r="F1061" s="1279"/>
      <c r="G1061" s="1279"/>
      <c r="H1061" s="1279"/>
      <c r="I1061" s="1279"/>
      <c r="J1061" s="1279"/>
      <c r="K1061" s="1279"/>
      <c r="L1061" s="1279"/>
      <c r="M1061" s="1279"/>
      <c r="N1061" s="1279"/>
      <c r="O1061" s="1279"/>
      <c r="P1061" s="4"/>
    </row>
    <row r="1062" spans="1:16">
      <c r="C1062" s="1279"/>
      <c r="D1062" s="1279"/>
      <c r="E1062" s="1279"/>
      <c r="F1062" s="1279"/>
      <c r="G1062" s="1279"/>
      <c r="H1062" s="1279"/>
      <c r="I1062" s="1279"/>
      <c r="J1062" s="1279"/>
      <c r="K1062" s="1279"/>
      <c r="L1062" s="1279"/>
      <c r="M1062" s="1279"/>
      <c r="N1062" s="1279"/>
      <c r="O1062" s="1279"/>
      <c r="P1062" s="4"/>
    </row>
    <row r="1063" spans="1:16" ht="20.25">
      <c r="A1063" s="352" t="s">
        <v>929</v>
      </c>
      <c r="B1063" s="4"/>
      <c r="C1063" s="4"/>
      <c r="D1063" s="67"/>
      <c r="E1063" s="4"/>
      <c r="F1063" s="394"/>
      <c r="G1063" s="4"/>
      <c r="H1063" s="831"/>
      <c r="K1063" s="353"/>
      <c r="L1063" s="353"/>
      <c r="M1063" s="353"/>
      <c r="N1063" s="353" t="str">
        <f>"Page "&amp;SUM(P$6:P1063)&amp;" of "</f>
        <v xml:space="preserve">Page 13 of </v>
      </c>
      <c r="O1063" s="354">
        <f>COUNT(P$6:P$59606)</f>
        <v>18</v>
      </c>
      <c r="P1063" s="4">
        <v>1</v>
      </c>
    </row>
    <row r="1064" spans="1:16">
      <c r="B1064" s="4"/>
      <c r="C1064" s="4"/>
      <c r="D1064" s="67"/>
      <c r="E1064" s="4"/>
      <c r="F1064" s="4"/>
      <c r="G1064" s="4"/>
      <c r="H1064" s="831"/>
      <c r="I1064" s="4"/>
      <c r="J1064" s="4"/>
      <c r="K1064" s="4"/>
      <c r="L1064" s="4"/>
      <c r="M1064" s="4"/>
      <c r="N1064" s="4"/>
      <c r="O1064" s="4"/>
      <c r="P1064" s="4"/>
    </row>
    <row r="1065" spans="1:16" ht="18">
      <c r="B1065" s="355" t="s">
        <v>174</v>
      </c>
      <c r="C1065" s="415" t="s">
        <v>290</v>
      </c>
      <c r="D1065" s="67"/>
      <c r="E1065" s="4"/>
      <c r="F1065" s="4"/>
      <c r="G1065" s="4"/>
      <c r="H1065" s="831"/>
      <c r="I1065" s="831"/>
      <c r="J1065" s="832"/>
      <c r="K1065" s="831"/>
      <c r="L1065" s="831"/>
      <c r="M1065" s="831"/>
      <c r="N1065" s="831"/>
      <c r="O1065" s="4"/>
      <c r="P1065" s="4"/>
    </row>
    <row r="1066" spans="1:16" ht="18.75">
      <c r="B1066" s="355"/>
      <c r="C1066" s="11"/>
      <c r="D1066" s="67"/>
      <c r="E1066" s="4"/>
      <c r="F1066" s="4"/>
      <c r="G1066" s="4"/>
      <c r="H1066" s="831"/>
      <c r="I1066" s="831"/>
      <c r="J1066" s="832"/>
      <c r="K1066" s="831"/>
      <c r="L1066" s="831"/>
      <c r="M1066" s="831"/>
      <c r="N1066" s="831"/>
      <c r="O1066" s="4"/>
      <c r="P1066" s="4"/>
    </row>
    <row r="1067" spans="1:16" ht="18.75">
      <c r="B1067" s="355"/>
      <c r="C1067" s="11" t="s">
        <v>291</v>
      </c>
      <c r="D1067" s="67"/>
      <c r="E1067" s="4"/>
      <c r="F1067" s="4"/>
      <c r="G1067" s="4"/>
      <c r="H1067" s="831"/>
      <c r="I1067" s="831"/>
      <c r="J1067" s="832"/>
      <c r="K1067" s="831"/>
      <c r="L1067" s="831"/>
      <c r="M1067" s="831"/>
      <c r="N1067" s="831"/>
      <c r="O1067" s="4"/>
      <c r="P1067" s="4"/>
    </row>
    <row r="1068" spans="1:16" ht="15.75" thickBot="1">
      <c r="C1068" s="203"/>
      <c r="D1068" s="67"/>
      <c r="E1068" s="4"/>
      <c r="F1068" s="4"/>
      <c r="G1068" s="4"/>
      <c r="H1068" s="831"/>
      <c r="I1068" s="831"/>
      <c r="J1068" s="832"/>
      <c r="K1068" s="831"/>
      <c r="L1068" s="831"/>
      <c r="M1068" s="831"/>
      <c r="N1068" s="831"/>
      <c r="O1068" s="4"/>
      <c r="P1068" s="4"/>
    </row>
    <row r="1069" spans="1:16" ht="15.75">
      <c r="C1069" s="356" t="s">
        <v>292</v>
      </c>
      <c r="D1069" s="67"/>
      <c r="E1069" s="4"/>
      <c r="F1069" s="4"/>
      <c r="G1069" s="833"/>
      <c r="H1069" s="4" t="s">
        <v>271</v>
      </c>
      <c r="I1069" s="4"/>
      <c r="J1069" s="4"/>
      <c r="K1069" s="416" t="s">
        <v>296</v>
      </c>
      <c r="L1069" s="417"/>
      <c r="M1069" s="418"/>
      <c r="N1069" s="834">
        <f>VLOOKUP(I1075,C1082:O1141,5)</f>
        <v>1084303.6286497945</v>
      </c>
      <c r="O1069" s="4"/>
      <c r="P1069" s="4"/>
    </row>
    <row r="1070" spans="1:16" ht="15.75">
      <c r="C1070" s="356"/>
      <c r="D1070" s="67"/>
      <c r="E1070" s="4"/>
      <c r="F1070" s="4"/>
      <c r="G1070" s="4"/>
      <c r="H1070" s="835"/>
      <c r="I1070" s="835"/>
      <c r="J1070" s="836"/>
      <c r="K1070" s="421" t="s">
        <v>297</v>
      </c>
      <c r="L1070" s="837"/>
      <c r="M1070" s="4"/>
      <c r="N1070" s="838">
        <f>VLOOKUP(I1075,C1082:O1141,6)</f>
        <v>1084303.6286497945</v>
      </c>
      <c r="O1070" s="4"/>
      <c r="P1070" s="4"/>
    </row>
    <row r="1071" spans="1:16" ht="13.5" thickBot="1">
      <c r="C1071" s="422" t="s">
        <v>293</v>
      </c>
      <c r="D1071" s="1277" t="s">
        <v>942</v>
      </c>
      <c r="E1071" s="1277"/>
      <c r="F1071" s="1277"/>
      <c r="G1071" s="1277"/>
      <c r="H1071" s="1277"/>
      <c r="I1071" s="831"/>
      <c r="J1071" s="832"/>
      <c r="K1071" s="839" t="s">
        <v>450</v>
      </c>
      <c r="L1071" s="840"/>
      <c r="M1071" s="840"/>
      <c r="N1071" s="841">
        <f>+N1070-N1069</f>
        <v>0</v>
      </c>
      <c r="O1071" s="4"/>
      <c r="P1071" s="4"/>
    </row>
    <row r="1072" spans="1:16">
      <c r="C1072" s="424"/>
      <c r="D1072" s="425"/>
      <c r="E1072" s="412"/>
      <c r="F1072" s="412"/>
      <c r="G1072" s="426"/>
      <c r="H1072" s="831"/>
      <c r="I1072" s="831"/>
      <c r="J1072" s="832"/>
      <c r="K1072" s="831"/>
      <c r="L1072" s="831"/>
      <c r="M1072" s="831"/>
      <c r="N1072" s="831"/>
      <c r="O1072" s="4"/>
      <c r="P1072" s="4"/>
    </row>
    <row r="1073" spans="1:16" ht="13.5" thickBot="1">
      <c r="C1073" s="424"/>
      <c r="D1073" s="4"/>
      <c r="E1073" s="426"/>
      <c r="F1073" s="426"/>
      <c r="G1073" s="426"/>
      <c r="H1073" s="426"/>
      <c r="I1073" s="426"/>
      <c r="J1073" s="426"/>
      <c r="K1073" s="426"/>
      <c r="L1073" s="426"/>
      <c r="M1073" s="426"/>
      <c r="N1073" s="426"/>
      <c r="O1073" s="4"/>
      <c r="P1073" s="4"/>
    </row>
    <row r="1074" spans="1:16" ht="13.5" thickBot="1">
      <c r="C1074" s="427" t="s">
        <v>294</v>
      </c>
      <c r="D1074" s="428"/>
      <c r="E1074" s="428"/>
      <c r="F1074" s="428"/>
      <c r="G1074" s="428"/>
      <c r="H1074" s="428"/>
      <c r="I1074" s="429"/>
      <c r="K1074" s="4"/>
      <c r="L1074" s="4"/>
      <c r="M1074" s="4"/>
      <c r="N1074" s="4"/>
      <c r="O1074" s="4"/>
      <c r="P1074" s="4"/>
    </row>
    <row r="1075" spans="1:16" ht="15">
      <c r="C1075" s="430" t="s">
        <v>272</v>
      </c>
      <c r="D1075" s="842">
        <v>9582259.5500000007</v>
      </c>
      <c r="E1075" s="4" t="s">
        <v>273</v>
      </c>
      <c r="G1075" s="67"/>
      <c r="H1075" s="67"/>
      <c r="I1075" s="431">
        <f>$L$26</f>
        <v>2026</v>
      </c>
      <c r="J1075" s="114"/>
      <c r="K1075" s="1278" t="s">
        <v>459</v>
      </c>
      <c r="L1075" s="1278"/>
      <c r="M1075" s="1278"/>
      <c r="N1075" s="1278"/>
      <c r="O1075" s="1278"/>
      <c r="P1075" s="4"/>
    </row>
    <row r="1076" spans="1:16">
      <c r="C1076" s="430" t="s">
        <v>275</v>
      </c>
      <c r="D1076" s="879">
        <v>2017</v>
      </c>
      <c r="E1076" s="430" t="s">
        <v>276</v>
      </c>
      <c r="F1076" s="67"/>
      <c r="I1076" s="564">
        <f>IF(G1069="",0,$F$15)</f>
        <v>0</v>
      </c>
      <c r="J1076" s="432"/>
      <c r="K1076" s="832" t="s">
        <v>459</v>
      </c>
      <c r="P1076" s="4"/>
    </row>
    <row r="1077" spans="1:16">
      <c r="C1077" s="430" t="s">
        <v>277</v>
      </c>
      <c r="D1077" s="842">
        <v>12</v>
      </c>
      <c r="E1077" s="430" t="s">
        <v>278</v>
      </c>
      <c r="F1077" s="67"/>
      <c r="I1077" s="433">
        <f>$G$70</f>
        <v>0.1119061905251431</v>
      </c>
      <c r="J1077" s="394"/>
      <c r="K1077" t="str">
        <f>"          INPUT PROJECTED ARR (WITH &amp; WITHOUT INCENTIVES) FROM EACH PRIOR YEAR"</f>
        <v xml:space="preserve">          INPUT PROJECTED ARR (WITH &amp; WITHOUT INCENTIVES) FROM EACH PRIOR YEAR</v>
      </c>
      <c r="P1077" s="4"/>
    </row>
    <row r="1078" spans="1:16">
      <c r="C1078" s="430" t="s">
        <v>279</v>
      </c>
      <c r="D1078" s="434">
        <f>G$79</f>
        <v>39</v>
      </c>
      <c r="E1078" s="430" t="s">
        <v>280</v>
      </c>
      <c r="F1078" s="67"/>
      <c r="I1078" s="433">
        <f>IF(G1069="",I1077,$G$67)</f>
        <v>0.1119061905251431</v>
      </c>
      <c r="J1078" s="394"/>
      <c r="K1078" t="s">
        <v>357</v>
      </c>
      <c r="P1078" s="4"/>
    </row>
    <row r="1079" spans="1:16" ht="13.5" thickBot="1">
      <c r="C1079" s="430" t="s">
        <v>281</v>
      </c>
      <c r="D1079" s="563" t="s">
        <v>931</v>
      </c>
      <c r="E1079" s="435" t="s">
        <v>282</v>
      </c>
      <c r="F1079" s="436"/>
      <c r="G1079" s="437"/>
      <c r="H1079" s="437"/>
      <c r="I1079" s="841">
        <f>IF(D1075=0,0,D1075/D1078)</f>
        <v>245698.96282051285</v>
      </c>
      <c r="J1079" s="832"/>
      <c r="K1079" s="832" t="s">
        <v>363</v>
      </c>
      <c r="L1079" s="832"/>
      <c r="M1079" s="832"/>
      <c r="N1079" s="832"/>
      <c r="O1079" s="4"/>
      <c r="P1079" s="4"/>
    </row>
    <row r="1080" spans="1:16" ht="51">
      <c r="A1080" s="322"/>
      <c r="B1080" s="322"/>
      <c r="C1080" s="438" t="s">
        <v>272</v>
      </c>
      <c r="D1080" s="844" t="s">
        <v>283</v>
      </c>
      <c r="E1080" s="845" t="s">
        <v>284</v>
      </c>
      <c r="F1080" s="844" t="s">
        <v>285</v>
      </c>
      <c r="G1080" s="845" t="s">
        <v>356</v>
      </c>
      <c r="H1080" s="846" t="s">
        <v>356</v>
      </c>
      <c r="I1080" s="438" t="s">
        <v>295</v>
      </c>
      <c r="J1080" s="442"/>
      <c r="K1080" s="845" t="s">
        <v>365</v>
      </c>
      <c r="L1080" s="847"/>
      <c r="M1080" s="845" t="s">
        <v>365</v>
      </c>
      <c r="N1080" s="847"/>
      <c r="O1080" s="847"/>
      <c r="P1080" s="4"/>
    </row>
    <row r="1081" spans="1:16" ht="13.5" thickBot="1">
      <c r="C1081" s="444" t="s">
        <v>177</v>
      </c>
      <c r="D1081" s="445" t="s">
        <v>178</v>
      </c>
      <c r="E1081" s="444" t="s">
        <v>37</v>
      </c>
      <c r="F1081" s="445" t="s">
        <v>178</v>
      </c>
      <c r="G1081" s="848" t="s">
        <v>298</v>
      </c>
      <c r="H1081" s="849" t="s">
        <v>300</v>
      </c>
      <c r="I1081" s="444" t="s">
        <v>389</v>
      </c>
      <c r="J1081" s="448"/>
      <c r="K1081" s="848" t="s">
        <v>287</v>
      </c>
      <c r="L1081" s="850"/>
      <c r="M1081" s="848" t="s">
        <v>300</v>
      </c>
      <c r="N1081" s="850"/>
      <c r="O1081" s="850"/>
      <c r="P1081" s="4"/>
    </row>
    <row r="1082" spans="1:16">
      <c r="C1082" s="449">
        <f>IF(D1076= "","-",D1076)</f>
        <v>2017</v>
      </c>
      <c r="D1082" s="412">
        <f>+D1075</f>
        <v>9582259.5500000007</v>
      </c>
      <c r="E1082" s="851">
        <f>+I1079/12*(12-D1077)</f>
        <v>0</v>
      </c>
      <c r="F1082" s="412">
        <f t="shared" ref="F1082:F1141" si="71">+D1082-E1082</f>
        <v>9582259.5500000007</v>
      </c>
      <c r="G1082" s="852">
        <f>+$I$988*((D1082+F1082)/2)+E1082</f>
        <v>1072314.162863672</v>
      </c>
      <c r="H1082" s="853">
        <f>+$I$989*((D1082+F1082)/2)+E1082</f>
        <v>1072314.162863672</v>
      </c>
      <c r="I1082" s="453">
        <f t="shared" ref="I1082:I1141" si="72">+H1082-G1082</f>
        <v>0</v>
      </c>
      <c r="J1082" s="453"/>
      <c r="K1082" s="565"/>
      <c r="L1082" s="455"/>
      <c r="M1082" s="565"/>
      <c r="N1082" s="455"/>
      <c r="O1082" s="455"/>
      <c r="P1082" s="4"/>
    </row>
    <row r="1083" spans="1:16">
      <c r="C1083" s="878">
        <f>IF(D1076="","-",+C1082+1)</f>
        <v>2018</v>
      </c>
      <c r="D1083" s="856">
        <f t="shared" ref="D1083:D1141" si="73">F1082</f>
        <v>9582259.5500000007</v>
      </c>
      <c r="E1083" s="857">
        <f>IF(D1083&gt;$I$1079,$I$1079,D1083)</f>
        <v>245698.96282051285</v>
      </c>
      <c r="F1083" s="856">
        <f t="shared" si="71"/>
        <v>9336560.5871794876</v>
      </c>
      <c r="G1083" s="858">
        <f>+$I$1077*((D1083+F1083)/2)+E1083</f>
        <v>1304265.5082115736</v>
      </c>
      <c r="H1083" s="859">
        <f>+$I$1078*((D1083+F1083)/2)+E1083</f>
        <v>1304265.5082115736</v>
      </c>
      <c r="I1083" s="865">
        <f t="shared" si="72"/>
        <v>0</v>
      </c>
      <c r="J1083" s="453"/>
      <c r="K1083" s="566">
        <v>1174872</v>
      </c>
      <c r="L1083" s="459"/>
      <c r="M1083" s="566">
        <v>1174872</v>
      </c>
      <c r="N1083" s="459"/>
      <c r="O1083" s="459"/>
      <c r="P1083" s="4"/>
    </row>
    <row r="1084" spans="1:16">
      <c r="C1084" s="449">
        <f>IF(D1075="","-",+C1083+1)</f>
        <v>2019</v>
      </c>
      <c r="D1084" s="412">
        <f t="shared" si="73"/>
        <v>9336560.5871794876</v>
      </c>
      <c r="E1084" s="857">
        <f t="shared" ref="E1084:E1141" si="74">IF(D1084&gt;$I$1079,$I$1079,D1084)</f>
        <v>245698.96282051285</v>
      </c>
      <c r="F1084" s="412">
        <f t="shared" si="71"/>
        <v>9090861.6243589744</v>
      </c>
      <c r="G1084" s="858">
        <f t="shared" ref="G1084:G1141" si="75">+$I$1077*((D1084+F1084)/2)+E1084</f>
        <v>1276770.2732663515</v>
      </c>
      <c r="H1084" s="859">
        <f t="shared" ref="H1084:H1141" si="76">+$I$1078*((D1084+F1084)/2)+E1084</f>
        <v>1276770.2732663515</v>
      </c>
      <c r="I1084" s="453">
        <f t="shared" si="72"/>
        <v>0</v>
      </c>
      <c r="J1084" s="453"/>
      <c r="K1084" s="566">
        <v>1181870</v>
      </c>
      <c r="L1084" s="459"/>
      <c r="M1084" s="566">
        <v>1181870</v>
      </c>
      <c r="N1084" s="459"/>
      <c r="O1084" s="459"/>
      <c r="P1084" s="4"/>
    </row>
    <row r="1085" spans="1:16">
      <c r="C1085" s="449">
        <f>IF(D1075="","-",+C1084+1)</f>
        <v>2020</v>
      </c>
      <c r="D1085" s="412">
        <f t="shared" si="73"/>
        <v>9090861.6243589744</v>
      </c>
      <c r="E1085" s="857">
        <f t="shared" si="74"/>
        <v>245698.96282051285</v>
      </c>
      <c r="F1085" s="412">
        <f t="shared" si="71"/>
        <v>8845162.6615384612</v>
      </c>
      <c r="G1085" s="858">
        <f t="shared" si="75"/>
        <v>1249275.0383211288</v>
      </c>
      <c r="H1085" s="859">
        <f t="shared" si="76"/>
        <v>1249275.0383211288</v>
      </c>
      <c r="I1085" s="453">
        <f t="shared" si="72"/>
        <v>0</v>
      </c>
      <c r="J1085" s="453"/>
      <c r="K1085" s="566">
        <v>1110564.6850760612</v>
      </c>
      <c r="L1085" s="459"/>
      <c r="M1085" s="566">
        <v>1110564.6850760612</v>
      </c>
      <c r="N1085" s="459"/>
      <c r="O1085" s="459"/>
      <c r="P1085" s="4"/>
    </row>
    <row r="1086" spans="1:16">
      <c r="C1086" s="449">
        <f>IF(D1076="","-",+C1085+1)</f>
        <v>2021</v>
      </c>
      <c r="D1086" s="412">
        <f t="shared" si="73"/>
        <v>8845162.6615384612</v>
      </c>
      <c r="E1086" s="857">
        <f t="shared" si="74"/>
        <v>245698.96282051285</v>
      </c>
      <c r="F1086" s="412">
        <f t="shared" si="71"/>
        <v>8599463.698717948</v>
      </c>
      <c r="G1086" s="858">
        <f t="shared" si="75"/>
        <v>1221779.8033759065</v>
      </c>
      <c r="H1086" s="859">
        <f t="shared" si="76"/>
        <v>1221779.8033759065</v>
      </c>
      <c r="I1086" s="453">
        <f t="shared" si="72"/>
        <v>0</v>
      </c>
      <c r="J1086" s="453"/>
      <c r="K1086" s="566">
        <v>1123491.0735588395</v>
      </c>
      <c r="L1086" s="459"/>
      <c r="M1086" s="566">
        <v>1123491.0735588395</v>
      </c>
      <c r="N1086" s="459"/>
      <c r="O1086" s="459"/>
      <c r="P1086" s="4"/>
    </row>
    <row r="1087" spans="1:16">
      <c r="C1087" s="449">
        <f>IF(D1078="","-",+C1086+1)</f>
        <v>2022</v>
      </c>
      <c r="D1087" s="412">
        <f t="shared" si="73"/>
        <v>8599463.698717948</v>
      </c>
      <c r="E1087" s="857">
        <f t="shared" si="74"/>
        <v>245698.96282051285</v>
      </c>
      <c r="F1087" s="412">
        <f t="shared" si="71"/>
        <v>8353764.7358974349</v>
      </c>
      <c r="G1087" s="858">
        <f t="shared" si="75"/>
        <v>1194284.568430684</v>
      </c>
      <c r="H1087" s="859">
        <f t="shared" si="76"/>
        <v>1194284.568430684</v>
      </c>
      <c r="I1087" s="453">
        <f t="shared" si="72"/>
        <v>0</v>
      </c>
      <c r="J1087" s="453"/>
      <c r="K1087" s="566">
        <v>1111541.5192683607</v>
      </c>
      <c r="L1087" s="459"/>
      <c r="M1087" s="566">
        <v>1111541.5192683607</v>
      </c>
      <c r="N1087" s="459"/>
      <c r="O1087" s="459"/>
      <c r="P1087" s="4"/>
    </row>
    <row r="1088" spans="1:16">
      <c r="C1088" s="449">
        <f>IF(D1078="","-",+C1087+1)</f>
        <v>2023</v>
      </c>
      <c r="D1088" s="412">
        <f t="shared" si="73"/>
        <v>8353764.7358974349</v>
      </c>
      <c r="E1088" s="857">
        <f t="shared" si="74"/>
        <v>245698.96282051285</v>
      </c>
      <c r="F1088" s="412">
        <f t="shared" si="71"/>
        <v>8108065.7730769217</v>
      </c>
      <c r="G1088" s="858">
        <f t="shared" si="75"/>
        <v>1166789.3334854618</v>
      </c>
      <c r="H1088" s="859">
        <f t="shared" si="76"/>
        <v>1166789.3334854618</v>
      </c>
      <c r="I1088" s="453">
        <f t="shared" si="72"/>
        <v>0</v>
      </c>
      <c r="J1088" s="453"/>
      <c r="K1088" s="566">
        <v>1153662.4994624322</v>
      </c>
      <c r="L1088" s="459"/>
      <c r="M1088" s="566">
        <v>1153662.4994624322</v>
      </c>
      <c r="N1088" s="459"/>
      <c r="O1088" s="459"/>
      <c r="P1088" s="4"/>
    </row>
    <row r="1089" spans="3:16">
      <c r="C1089" s="449">
        <f>IF(D1076="","-",+C1088+1)</f>
        <v>2024</v>
      </c>
      <c r="D1089" s="856">
        <f t="shared" si="73"/>
        <v>8108065.7730769217</v>
      </c>
      <c r="E1089" s="857">
        <f t="shared" si="74"/>
        <v>245698.96282051285</v>
      </c>
      <c r="F1089" s="856">
        <f t="shared" si="71"/>
        <v>7862366.8102564085</v>
      </c>
      <c r="G1089" s="858">
        <f t="shared" si="75"/>
        <v>1139294.0985402393</v>
      </c>
      <c r="H1089" s="859">
        <f t="shared" si="76"/>
        <v>1139294.0985402393</v>
      </c>
      <c r="I1089" s="865">
        <f t="shared" si="72"/>
        <v>0</v>
      </c>
      <c r="J1089" s="453"/>
      <c r="K1089" s="566">
        <v>1113729.0232925727</v>
      </c>
      <c r="L1089" s="459"/>
      <c r="M1089" s="566">
        <v>1113729.0232925727</v>
      </c>
      <c r="N1089" s="459"/>
      <c r="O1089" s="459"/>
      <c r="P1089" s="4"/>
    </row>
    <row r="1090" spans="3:16">
      <c r="C1090" s="449">
        <f>IF(D1076="","-",+C1089+1)</f>
        <v>2025</v>
      </c>
      <c r="D1090" s="412">
        <f t="shared" si="73"/>
        <v>7862366.8102564085</v>
      </c>
      <c r="E1090" s="857">
        <f t="shared" si="74"/>
        <v>245698.96282051285</v>
      </c>
      <c r="F1090" s="412">
        <f t="shared" si="71"/>
        <v>7616667.8474358954</v>
      </c>
      <c r="G1090" s="858">
        <f t="shared" si="75"/>
        <v>1111798.863595017</v>
      </c>
      <c r="H1090" s="859">
        <f t="shared" si="76"/>
        <v>1111798.863595017</v>
      </c>
      <c r="I1090" s="453">
        <f t="shared" si="72"/>
        <v>0</v>
      </c>
      <c r="J1090" s="453"/>
      <c r="K1090" s="566">
        <v>1093306.4565591787</v>
      </c>
      <c r="L1090" s="459"/>
      <c r="M1090" s="566">
        <v>1093306.4565591787</v>
      </c>
      <c r="N1090" s="459"/>
      <c r="O1090" s="459"/>
      <c r="P1090" s="4"/>
    </row>
    <row r="1091" spans="3:16">
      <c r="C1091" s="855">
        <f>IF(D1076="","-",+C1090+1)</f>
        <v>2026</v>
      </c>
      <c r="D1091" s="412">
        <f t="shared" si="73"/>
        <v>7616667.8474358954</v>
      </c>
      <c r="E1091" s="857">
        <f t="shared" si="74"/>
        <v>245698.96282051285</v>
      </c>
      <c r="F1091" s="412">
        <f t="shared" si="71"/>
        <v>7370968.8846153822</v>
      </c>
      <c r="G1091" s="858">
        <f t="shared" si="75"/>
        <v>1084303.6286497945</v>
      </c>
      <c r="H1091" s="859">
        <f t="shared" si="76"/>
        <v>1084303.6286497945</v>
      </c>
      <c r="I1091" s="453">
        <f t="shared" si="72"/>
        <v>0</v>
      </c>
      <c r="J1091" s="453"/>
      <c r="K1091" s="566"/>
      <c r="L1091" s="459"/>
      <c r="M1091" s="566"/>
      <c r="N1091" s="459"/>
      <c r="O1091" s="459"/>
      <c r="P1091" s="4"/>
    </row>
    <row r="1092" spans="3:16">
      <c r="C1092" s="449">
        <f>IF(D1076="","-",+C1091+1)</f>
        <v>2027</v>
      </c>
      <c r="D1092" s="412">
        <f t="shared" si="73"/>
        <v>7370968.8846153822</v>
      </c>
      <c r="E1092" s="857">
        <f t="shared" si="74"/>
        <v>245698.96282051285</v>
      </c>
      <c r="F1092" s="412">
        <f t="shared" si="71"/>
        <v>7125269.921794869</v>
      </c>
      <c r="G1092" s="858">
        <f t="shared" si="75"/>
        <v>1056808.3937045722</v>
      </c>
      <c r="H1092" s="859">
        <f t="shared" si="76"/>
        <v>1056808.3937045722</v>
      </c>
      <c r="I1092" s="453">
        <f t="shared" si="72"/>
        <v>0</v>
      </c>
      <c r="J1092" s="453"/>
      <c r="K1092" s="566"/>
      <c r="L1092" s="459"/>
      <c r="M1092" s="566"/>
      <c r="N1092" s="459"/>
      <c r="O1092" s="459"/>
      <c r="P1092" s="4"/>
    </row>
    <row r="1093" spans="3:16">
      <c r="C1093" s="449">
        <f>IF(D1076="","-",+C1092+1)</f>
        <v>2028</v>
      </c>
      <c r="D1093" s="412">
        <f t="shared" si="73"/>
        <v>7125269.921794869</v>
      </c>
      <c r="E1093" s="857">
        <f t="shared" si="74"/>
        <v>245698.96282051285</v>
      </c>
      <c r="F1093" s="412">
        <f t="shared" si="71"/>
        <v>6879570.9589743558</v>
      </c>
      <c r="G1093" s="858">
        <f t="shared" si="75"/>
        <v>1029313.1587593497</v>
      </c>
      <c r="H1093" s="859">
        <f t="shared" si="76"/>
        <v>1029313.1587593497</v>
      </c>
      <c r="I1093" s="453">
        <f t="shared" si="72"/>
        <v>0</v>
      </c>
      <c r="J1093" s="453"/>
      <c r="K1093" s="566"/>
      <c r="L1093" s="459"/>
      <c r="M1093" s="566"/>
      <c r="N1093" s="459"/>
      <c r="O1093" s="459"/>
      <c r="P1093" s="4"/>
    </row>
    <row r="1094" spans="3:16">
      <c r="C1094" s="449">
        <f>IF(D1076="","-",+C1093+1)</f>
        <v>2029</v>
      </c>
      <c r="D1094" s="412">
        <f t="shared" si="73"/>
        <v>6879570.9589743558</v>
      </c>
      <c r="E1094" s="857">
        <f t="shared" si="74"/>
        <v>245698.96282051285</v>
      </c>
      <c r="F1094" s="412">
        <f t="shared" si="71"/>
        <v>6633871.9961538427</v>
      </c>
      <c r="G1094" s="858">
        <f t="shared" si="75"/>
        <v>1001817.9238141273</v>
      </c>
      <c r="H1094" s="859">
        <f t="shared" si="76"/>
        <v>1001817.9238141273</v>
      </c>
      <c r="I1094" s="453">
        <f t="shared" si="72"/>
        <v>0</v>
      </c>
      <c r="J1094" s="453"/>
      <c r="K1094" s="566"/>
      <c r="L1094" s="459"/>
      <c r="M1094" s="566"/>
      <c r="N1094" s="460"/>
      <c r="O1094" s="459"/>
      <c r="P1094" s="4"/>
    </row>
    <row r="1095" spans="3:16">
      <c r="C1095" s="449">
        <f>IF(D1076="","-",+C1094+1)</f>
        <v>2030</v>
      </c>
      <c r="D1095" s="412">
        <f t="shared" si="73"/>
        <v>6633871.9961538427</v>
      </c>
      <c r="E1095" s="857">
        <f t="shared" si="74"/>
        <v>245698.96282051285</v>
      </c>
      <c r="F1095" s="412">
        <f t="shared" si="71"/>
        <v>6388173.0333333295</v>
      </c>
      <c r="G1095" s="858">
        <f t="shared" si="75"/>
        <v>974322.68886890495</v>
      </c>
      <c r="H1095" s="859">
        <f t="shared" si="76"/>
        <v>974322.68886890495</v>
      </c>
      <c r="I1095" s="453">
        <f t="shared" si="72"/>
        <v>0</v>
      </c>
      <c r="J1095" s="453"/>
      <c r="K1095" s="566"/>
      <c r="L1095" s="459"/>
      <c r="M1095" s="566"/>
      <c r="N1095" s="459"/>
      <c r="O1095" s="459"/>
      <c r="P1095" s="4"/>
    </row>
    <row r="1096" spans="3:16">
      <c r="C1096" s="449">
        <f>IF(D1076="","-",+C1095+1)</f>
        <v>2031</v>
      </c>
      <c r="D1096" s="412">
        <f t="shared" si="73"/>
        <v>6388173.0333333295</v>
      </c>
      <c r="E1096" s="857">
        <f t="shared" si="74"/>
        <v>245698.96282051285</v>
      </c>
      <c r="F1096" s="412">
        <f t="shared" si="71"/>
        <v>6142474.0705128163</v>
      </c>
      <c r="G1096" s="858">
        <f t="shared" si="75"/>
        <v>946827.45392368245</v>
      </c>
      <c r="H1096" s="859">
        <f t="shared" si="76"/>
        <v>946827.45392368245</v>
      </c>
      <c r="I1096" s="453">
        <f t="shared" si="72"/>
        <v>0</v>
      </c>
      <c r="J1096" s="453"/>
      <c r="K1096" s="566"/>
      <c r="L1096" s="459"/>
      <c r="M1096" s="566"/>
      <c r="N1096" s="459"/>
      <c r="O1096" s="459"/>
      <c r="P1096" s="4"/>
    </row>
    <row r="1097" spans="3:16">
      <c r="C1097" s="449">
        <f>IF(D1076="","-",+C1096+1)</f>
        <v>2032</v>
      </c>
      <c r="D1097" s="412">
        <f t="shared" si="73"/>
        <v>6142474.0705128163</v>
      </c>
      <c r="E1097" s="857">
        <f t="shared" si="74"/>
        <v>245698.96282051285</v>
      </c>
      <c r="F1097" s="412">
        <f t="shared" si="71"/>
        <v>5896775.1076923031</v>
      </c>
      <c r="G1097" s="858">
        <f t="shared" si="75"/>
        <v>919332.21897846006</v>
      </c>
      <c r="H1097" s="859">
        <f t="shared" si="76"/>
        <v>919332.21897846006</v>
      </c>
      <c r="I1097" s="453">
        <f t="shared" si="72"/>
        <v>0</v>
      </c>
      <c r="J1097" s="453"/>
      <c r="K1097" s="566"/>
      <c r="L1097" s="459"/>
      <c r="M1097" s="566"/>
      <c r="N1097" s="459"/>
      <c r="O1097" s="459"/>
      <c r="P1097" s="4"/>
    </row>
    <row r="1098" spans="3:16">
      <c r="C1098" s="449">
        <f>IF(D1076="","-",+C1097+1)</f>
        <v>2033</v>
      </c>
      <c r="D1098" s="412">
        <f t="shared" si="73"/>
        <v>5896775.1076923031</v>
      </c>
      <c r="E1098" s="857">
        <f t="shared" si="74"/>
        <v>245698.96282051285</v>
      </c>
      <c r="F1098" s="412">
        <f t="shared" si="71"/>
        <v>5651076.14487179</v>
      </c>
      <c r="G1098" s="858">
        <f t="shared" si="75"/>
        <v>891836.98403323768</v>
      </c>
      <c r="H1098" s="859">
        <f t="shared" si="76"/>
        <v>891836.98403323768</v>
      </c>
      <c r="I1098" s="453">
        <f t="shared" si="72"/>
        <v>0</v>
      </c>
      <c r="J1098" s="453"/>
      <c r="K1098" s="566"/>
      <c r="L1098" s="459"/>
      <c r="M1098" s="566"/>
      <c r="N1098" s="459"/>
      <c r="O1098" s="459"/>
      <c r="P1098" s="4"/>
    </row>
    <row r="1099" spans="3:16">
      <c r="C1099" s="449">
        <f>IF(D1076="","-",+C1098+1)</f>
        <v>2034</v>
      </c>
      <c r="D1099" s="412">
        <f t="shared" si="73"/>
        <v>5651076.14487179</v>
      </c>
      <c r="E1099" s="857">
        <f t="shared" si="74"/>
        <v>245698.96282051285</v>
      </c>
      <c r="F1099" s="412">
        <f t="shared" si="71"/>
        <v>5405377.1820512768</v>
      </c>
      <c r="G1099" s="858">
        <f t="shared" si="75"/>
        <v>864341.74908801529</v>
      </c>
      <c r="H1099" s="859">
        <f t="shared" si="76"/>
        <v>864341.74908801529</v>
      </c>
      <c r="I1099" s="453">
        <f t="shared" si="72"/>
        <v>0</v>
      </c>
      <c r="J1099" s="453"/>
      <c r="K1099" s="566"/>
      <c r="L1099" s="459"/>
      <c r="M1099" s="566"/>
      <c r="N1099" s="459"/>
      <c r="O1099" s="459"/>
      <c r="P1099" s="4"/>
    </row>
    <row r="1100" spans="3:16">
      <c r="C1100" s="449">
        <f>IF(D1076="","-",+C1099+1)</f>
        <v>2035</v>
      </c>
      <c r="D1100" s="412">
        <f t="shared" si="73"/>
        <v>5405377.1820512768</v>
      </c>
      <c r="E1100" s="857">
        <f t="shared" si="74"/>
        <v>245698.96282051285</v>
      </c>
      <c r="F1100" s="412">
        <f t="shared" si="71"/>
        <v>5159678.2192307636</v>
      </c>
      <c r="G1100" s="858">
        <f t="shared" si="75"/>
        <v>836846.5141427929</v>
      </c>
      <c r="H1100" s="859">
        <f t="shared" si="76"/>
        <v>836846.5141427929</v>
      </c>
      <c r="I1100" s="453">
        <f t="shared" si="72"/>
        <v>0</v>
      </c>
      <c r="J1100" s="453"/>
      <c r="K1100" s="566"/>
      <c r="L1100" s="459"/>
      <c r="M1100" s="566"/>
      <c r="N1100" s="459"/>
      <c r="O1100" s="459"/>
      <c r="P1100" s="4"/>
    </row>
    <row r="1101" spans="3:16">
      <c r="C1101" s="449">
        <f>IF(D1076="","-",+C1100+1)</f>
        <v>2036</v>
      </c>
      <c r="D1101" s="412">
        <f t="shared" si="73"/>
        <v>5159678.2192307636</v>
      </c>
      <c r="E1101" s="857">
        <f t="shared" si="74"/>
        <v>245698.96282051285</v>
      </c>
      <c r="F1101" s="412">
        <f t="shared" si="71"/>
        <v>4913979.2564102504</v>
      </c>
      <c r="G1101" s="858">
        <f t="shared" si="75"/>
        <v>809351.27919757052</v>
      </c>
      <c r="H1101" s="859">
        <f t="shared" si="76"/>
        <v>809351.27919757052</v>
      </c>
      <c r="I1101" s="453">
        <f t="shared" si="72"/>
        <v>0</v>
      </c>
      <c r="J1101" s="453"/>
      <c r="K1101" s="566"/>
      <c r="L1101" s="459"/>
      <c r="M1101" s="566"/>
      <c r="N1101" s="459"/>
      <c r="O1101" s="459"/>
      <c r="P1101" s="4"/>
    </row>
    <row r="1102" spans="3:16">
      <c r="C1102" s="449">
        <f>IF(D1076="","-",+C1101+1)</f>
        <v>2037</v>
      </c>
      <c r="D1102" s="412">
        <f t="shared" si="73"/>
        <v>4913979.2564102504</v>
      </c>
      <c r="E1102" s="857">
        <f t="shared" si="74"/>
        <v>245698.96282051285</v>
      </c>
      <c r="F1102" s="412">
        <f t="shared" si="71"/>
        <v>4668280.2935897373</v>
      </c>
      <c r="G1102" s="858">
        <f t="shared" si="75"/>
        <v>781856.04425234813</v>
      </c>
      <c r="H1102" s="859">
        <f t="shared" si="76"/>
        <v>781856.04425234813</v>
      </c>
      <c r="I1102" s="453">
        <f t="shared" si="72"/>
        <v>0</v>
      </c>
      <c r="J1102" s="453"/>
      <c r="K1102" s="566"/>
      <c r="L1102" s="459"/>
      <c r="M1102" s="566"/>
      <c r="N1102" s="459"/>
      <c r="O1102" s="459"/>
      <c r="P1102" s="4"/>
    </row>
    <row r="1103" spans="3:16">
      <c r="C1103" s="449">
        <f>IF(D1076="","-",+C1102+1)</f>
        <v>2038</v>
      </c>
      <c r="D1103" s="412">
        <f t="shared" si="73"/>
        <v>4668280.2935897373</v>
      </c>
      <c r="E1103" s="857">
        <f t="shared" si="74"/>
        <v>245698.96282051285</v>
      </c>
      <c r="F1103" s="412">
        <f t="shared" si="71"/>
        <v>4422581.3307692241</v>
      </c>
      <c r="G1103" s="858">
        <f t="shared" si="75"/>
        <v>754360.80930712575</v>
      </c>
      <c r="H1103" s="859">
        <f t="shared" si="76"/>
        <v>754360.80930712575</v>
      </c>
      <c r="I1103" s="453">
        <f t="shared" si="72"/>
        <v>0</v>
      </c>
      <c r="J1103" s="453"/>
      <c r="K1103" s="566"/>
      <c r="L1103" s="459"/>
      <c r="M1103" s="566"/>
      <c r="N1103" s="459"/>
      <c r="O1103" s="459"/>
      <c r="P1103" s="4"/>
    </row>
    <row r="1104" spans="3:16">
      <c r="C1104" s="449">
        <f>IF(D1076="","-",+C1103+1)</f>
        <v>2039</v>
      </c>
      <c r="D1104" s="412">
        <f t="shared" si="73"/>
        <v>4422581.3307692241</v>
      </c>
      <c r="E1104" s="857">
        <f t="shared" si="74"/>
        <v>245698.96282051285</v>
      </c>
      <c r="F1104" s="412">
        <f t="shared" si="71"/>
        <v>4176882.3679487114</v>
      </c>
      <c r="G1104" s="858">
        <f t="shared" si="75"/>
        <v>726865.57436190336</v>
      </c>
      <c r="H1104" s="859">
        <f t="shared" si="76"/>
        <v>726865.57436190336</v>
      </c>
      <c r="I1104" s="453">
        <f t="shared" si="72"/>
        <v>0</v>
      </c>
      <c r="J1104" s="453"/>
      <c r="K1104" s="566"/>
      <c r="L1104" s="459"/>
      <c r="M1104" s="566"/>
      <c r="N1104" s="459"/>
      <c r="O1104" s="459"/>
      <c r="P1104" s="4"/>
    </row>
    <row r="1105" spans="3:16">
      <c r="C1105" s="449">
        <f>IF(D1076="","-",+C1104+1)</f>
        <v>2040</v>
      </c>
      <c r="D1105" s="412">
        <f t="shared" si="73"/>
        <v>4176882.3679487114</v>
      </c>
      <c r="E1105" s="857">
        <f t="shared" si="74"/>
        <v>245698.96282051285</v>
      </c>
      <c r="F1105" s="412">
        <f t="shared" si="71"/>
        <v>3931183.4051281987</v>
      </c>
      <c r="G1105" s="858">
        <f t="shared" si="75"/>
        <v>699370.33941668109</v>
      </c>
      <c r="H1105" s="859">
        <f t="shared" si="76"/>
        <v>699370.33941668109</v>
      </c>
      <c r="I1105" s="453">
        <f t="shared" si="72"/>
        <v>0</v>
      </c>
      <c r="J1105" s="453"/>
      <c r="K1105" s="566"/>
      <c r="L1105" s="459"/>
      <c r="M1105" s="566"/>
      <c r="N1105" s="459"/>
      <c r="O1105" s="459"/>
      <c r="P1105" s="4"/>
    </row>
    <row r="1106" spans="3:16">
      <c r="C1106" s="449">
        <f>IF(D1076="","-",+C1105+1)</f>
        <v>2041</v>
      </c>
      <c r="D1106" s="412">
        <f t="shared" si="73"/>
        <v>3931183.4051281987</v>
      </c>
      <c r="E1106" s="857">
        <f t="shared" si="74"/>
        <v>245698.96282051285</v>
      </c>
      <c r="F1106" s="412">
        <f t="shared" si="71"/>
        <v>3685484.442307686</v>
      </c>
      <c r="G1106" s="858">
        <f t="shared" si="75"/>
        <v>671875.1044714587</v>
      </c>
      <c r="H1106" s="859">
        <f t="shared" si="76"/>
        <v>671875.1044714587</v>
      </c>
      <c r="I1106" s="453">
        <f t="shared" si="72"/>
        <v>0</v>
      </c>
      <c r="J1106" s="453"/>
      <c r="K1106" s="566"/>
      <c r="L1106" s="459"/>
      <c r="M1106" s="566"/>
      <c r="N1106" s="459"/>
      <c r="O1106" s="459"/>
      <c r="P1106" s="4"/>
    </row>
    <row r="1107" spans="3:16">
      <c r="C1107" s="449">
        <f>IF(D1076="","-",+C1106+1)</f>
        <v>2042</v>
      </c>
      <c r="D1107" s="412">
        <f t="shared" si="73"/>
        <v>3685484.442307686</v>
      </c>
      <c r="E1107" s="857">
        <f t="shared" si="74"/>
        <v>245698.96282051285</v>
      </c>
      <c r="F1107" s="412">
        <f t="shared" si="71"/>
        <v>3439785.4794871733</v>
      </c>
      <c r="G1107" s="858">
        <f t="shared" si="75"/>
        <v>644379.86952623632</v>
      </c>
      <c r="H1107" s="859">
        <f t="shared" si="76"/>
        <v>644379.86952623632</v>
      </c>
      <c r="I1107" s="453">
        <f t="shared" si="72"/>
        <v>0</v>
      </c>
      <c r="J1107" s="453"/>
      <c r="K1107" s="566"/>
      <c r="L1107" s="459"/>
      <c r="M1107" s="566"/>
      <c r="N1107" s="459"/>
      <c r="O1107" s="459"/>
      <c r="P1107" s="4"/>
    </row>
    <row r="1108" spans="3:16">
      <c r="C1108" s="449">
        <f>IF(D1076="","-",+C1107+1)</f>
        <v>2043</v>
      </c>
      <c r="D1108" s="412">
        <f t="shared" si="73"/>
        <v>3439785.4794871733</v>
      </c>
      <c r="E1108" s="857">
        <f t="shared" si="74"/>
        <v>245698.96282051285</v>
      </c>
      <c r="F1108" s="412">
        <f t="shared" si="71"/>
        <v>3194086.5166666606</v>
      </c>
      <c r="G1108" s="858">
        <f t="shared" si="75"/>
        <v>616884.63458101393</v>
      </c>
      <c r="H1108" s="859">
        <f t="shared" si="76"/>
        <v>616884.63458101393</v>
      </c>
      <c r="I1108" s="453">
        <f t="shared" si="72"/>
        <v>0</v>
      </c>
      <c r="J1108" s="453"/>
      <c r="K1108" s="566"/>
      <c r="L1108" s="459"/>
      <c r="M1108" s="566"/>
      <c r="N1108" s="459"/>
      <c r="O1108" s="459"/>
      <c r="P1108" s="4"/>
    </row>
    <row r="1109" spans="3:16">
      <c r="C1109" s="449">
        <f>IF(D1076="","-",+C1108+1)</f>
        <v>2044</v>
      </c>
      <c r="D1109" s="412">
        <f t="shared" si="73"/>
        <v>3194086.5166666606</v>
      </c>
      <c r="E1109" s="857">
        <f t="shared" si="74"/>
        <v>245698.96282051285</v>
      </c>
      <c r="F1109" s="412">
        <f t="shared" si="71"/>
        <v>2948387.5538461478</v>
      </c>
      <c r="G1109" s="858">
        <f t="shared" si="75"/>
        <v>589389.39963579166</v>
      </c>
      <c r="H1109" s="859">
        <f t="shared" si="76"/>
        <v>589389.39963579166</v>
      </c>
      <c r="I1109" s="453">
        <f t="shared" si="72"/>
        <v>0</v>
      </c>
      <c r="J1109" s="453"/>
      <c r="K1109" s="566"/>
      <c r="L1109" s="459"/>
      <c r="M1109" s="566"/>
      <c r="N1109" s="459"/>
      <c r="O1109" s="459"/>
      <c r="P1109" s="4"/>
    </row>
    <row r="1110" spans="3:16">
      <c r="C1110" s="449">
        <f>IF(D1076="","-",+C1109+1)</f>
        <v>2045</v>
      </c>
      <c r="D1110" s="412">
        <f t="shared" si="73"/>
        <v>2948387.5538461478</v>
      </c>
      <c r="E1110" s="857">
        <f t="shared" si="74"/>
        <v>245698.96282051285</v>
      </c>
      <c r="F1110" s="412">
        <f t="shared" si="71"/>
        <v>2702688.5910256351</v>
      </c>
      <c r="G1110" s="858">
        <f t="shared" si="75"/>
        <v>561894.16469056928</v>
      </c>
      <c r="H1110" s="859">
        <f t="shared" si="76"/>
        <v>561894.16469056928</v>
      </c>
      <c r="I1110" s="453">
        <f t="shared" si="72"/>
        <v>0</v>
      </c>
      <c r="J1110" s="453"/>
      <c r="K1110" s="566"/>
      <c r="L1110" s="459"/>
      <c r="M1110" s="566"/>
      <c r="N1110" s="459"/>
      <c r="O1110" s="459"/>
      <c r="P1110" s="4"/>
    </row>
    <row r="1111" spans="3:16">
      <c r="C1111" s="449">
        <f>IF(D1076="","-",+C1110+1)</f>
        <v>2046</v>
      </c>
      <c r="D1111" s="412">
        <f t="shared" si="73"/>
        <v>2702688.5910256351</v>
      </c>
      <c r="E1111" s="857">
        <f t="shared" si="74"/>
        <v>245698.96282051285</v>
      </c>
      <c r="F1111" s="412">
        <f t="shared" si="71"/>
        <v>2456989.6282051224</v>
      </c>
      <c r="G1111" s="858">
        <f t="shared" si="75"/>
        <v>534398.92974534701</v>
      </c>
      <c r="H1111" s="859">
        <f t="shared" si="76"/>
        <v>534398.92974534701</v>
      </c>
      <c r="I1111" s="453">
        <f t="shared" si="72"/>
        <v>0</v>
      </c>
      <c r="J1111" s="453"/>
      <c r="K1111" s="566"/>
      <c r="L1111" s="459"/>
      <c r="M1111" s="566"/>
      <c r="N1111" s="459"/>
      <c r="O1111" s="459"/>
      <c r="P1111" s="4"/>
    </row>
    <row r="1112" spans="3:16">
      <c r="C1112" s="449">
        <f>IF(D1076="","-",+C1111+1)</f>
        <v>2047</v>
      </c>
      <c r="D1112" s="412">
        <f t="shared" si="73"/>
        <v>2456989.6282051224</v>
      </c>
      <c r="E1112" s="857">
        <f t="shared" si="74"/>
        <v>245698.96282051285</v>
      </c>
      <c r="F1112" s="412">
        <f t="shared" si="71"/>
        <v>2211290.6653846097</v>
      </c>
      <c r="G1112" s="858">
        <f t="shared" si="75"/>
        <v>506903.69480012462</v>
      </c>
      <c r="H1112" s="859">
        <f t="shared" si="76"/>
        <v>506903.69480012462</v>
      </c>
      <c r="I1112" s="453">
        <f t="shared" si="72"/>
        <v>0</v>
      </c>
      <c r="J1112" s="453"/>
      <c r="K1112" s="566"/>
      <c r="L1112" s="459"/>
      <c r="M1112" s="566"/>
      <c r="N1112" s="459"/>
      <c r="O1112" s="459"/>
      <c r="P1112" s="4"/>
    </row>
    <row r="1113" spans="3:16">
      <c r="C1113" s="449">
        <f>IF(D1076="","-",+C1112+1)</f>
        <v>2048</v>
      </c>
      <c r="D1113" s="412">
        <f t="shared" si="73"/>
        <v>2211290.6653846097</v>
      </c>
      <c r="E1113" s="857">
        <f t="shared" si="74"/>
        <v>245698.96282051285</v>
      </c>
      <c r="F1113" s="412">
        <f t="shared" si="71"/>
        <v>1965591.7025640968</v>
      </c>
      <c r="G1113" s="858">
        <f t="shared" si="75"/>
        <v>479408.45985490223</v>
      </c>
      <c r="H1113" s="859">
        <f t="shared" si="76"/>
        <v>479408.45985490223</v>
      </c>
      <c r="I1113" s="453">
        <f t="shared" si="72"/>
        <v>0</v>
      </c>
      <c r="J1113" s="453"/>
      <c r="K1113" s="566"/>
      <c r="L1113" s="459"/>
      <c r="M1113" s="566"/>
      <c r="N1113" s="459"/>
      <c r="O1113" s="459"/>
      <c r="P1113" s="4"/>
    </row>
    <row r="1114" spans="3:16">
      <c r="C1114" s="449">
        <f>IF(D1076="","-",+C1113+1)</f>
        <v>2049</v>
      </c>
      <c r="D1114" s="412">
        <f t="shared" si="73"/>
        <v>1965591.7025640968</v>
      </c>
      <c r="E1114" s="857">
        <f t="shared" si="74"/>
        <v>245698.96282051285</v>
      </c>
      <c r="F1114" s="412">
        <f t="shared" si="71"/>
        <v>1719892.7397435838</v>
      </c>
      <c r="G1114" s="858">
        <f t="shared" si="75"/>
        <v>451913.22490967991</v>
      </c>
      <c r="H1114" s="859">
        <f t="shared" si="76"/>
        <v>451913.22490967991</v>
      </c>
      <c r="I1114" s="453">
        <f t="shared" si="72"/>
        <v>0</v>
      </c>
      <c r="J1114" s="453"/>
      <c r="K1114" s="566"/>
      <c r="L1114" s="459"/>
      <c r="M1114" s="566"/>
      <c r="N1114" s="459"/>
      <c r="O1114" s="459"/>
      <c r="P1114" s="4"/>
    </row>
    <row r="1115" spans="3:16">
      <c r="C1115" s="449">
        <f>IF(D1076="","-",+C1114+1)</f>
        <v>2050</v>
      </c>
      <c r="D1115" s="412">
        <f t="shared" si="73"/>
        <v>1719892.7397435838</v>
      </c>
      <c r="E1115" s="857">
        <f t="shared" si="74"/>
        <v>245698.96282051285</v>
      </c>
      <c r="F1115" s="412">
        <f t="shared" si="71"/>
        <v>1474193.7769230709</v>
      </c>
      <c r="G1115" s="858">
        <f t="shared" si="75"/>
        <v>424417.98996445746</v>
      </c>
      <c r="H1115" s="859">
        <f t="shared" si="76"/>
        <v>424417.98996445746</v>
      </c>
      <c r="I1115" s="453">
        <f t="shared" si="72"/>
        <v>0</v>
      </c>
      <c r="J1115" s="453"/>
      <c r="K1115" s="566"/>
      <c r="L1115" s="459"/>
      <c r="M1115" s="566"/>
      <c r="N1115" s="459"/>
      <c r="O1115" s="459"/>
      <c r="P1115" s="4"/>
    </row>
    <row r="1116" spans="3:16">
      <c r="C1116" s="449">
        <f>IF(D1076="","-",+C1115+1)</f>
        <v>2051</v>
      </c>
      <c r="D1116" s="412">
        <f t="shared" si="73"/>
        <v>1474193.7769230709</v>
      </c>
      <c r="E1116" s="857">
        <f t="shared" si="74"/>
        <v>245698.96282051285</v>
      </c>
      <c r="F1116" s="412">
        <f t="shared" si="71"/>
        <v>1228494.814102558</v>
      </c>
      <c r="G1116" s="858">
        <f t="shared" si="75"/>
        <v>396922.75501923519</v>
      </c>
      <c r="H1116" s="859">
        <f t="shared" si="76"/>
        <v>396922.75501923519</v>
      </c>
      <c r="I1116" s="453">
        <f t="shared" si="72"/>
        <v>0</v>
      </c>
      <c r="J1116" s="453"/>
      <c r="K1116" s="566"/>
      <c r="L1116" s="459"/>
      <c r="M1116" s="566"/>
      <c r="N1116" s="459"/>
      <c r="O1116" s="459"/>
      <c r="P1116" s="4"/>
    </row>
    <row r="1117" spans="3:16">
      <c r="C1117" s="449">
        <f>IF(D1076="","-",+C1116+1)</f>
        <v>2052</v>
      </c>
      <c r="D1117" s="412">
        <f t="shared" si="73"/>
        <v>1228494.814102558</v>
      </c>
      <c r="E1117" s="857">
        <f t="shared" si="74"/>
        <v>245698.96282051285</v>
      </c>
      <c r="F1117" s="412">
        <f t="shared" si="71"/>
        <v>982795.85128204513</v>
      </c>
      <c r="G1117" s="858">
        <f t="shared" si="75"/>
        <v>369427.52007401281</v>
      </c>
      <c r="H1117" s="859">
        <f t="shared" si="76"/>
        <v>369427.52007401281</v>
      </c>
      <c r="I1117" s="453">
        <f t="shared" si="72"/>
        <v>0</v>
      </c>
      <c r="J1117" s="453"/>
      <c r="K1117" s="566"/>
      <c r="L1117" s="459"/>
      <c r="M1117" s="566"/>
      <c r="N1117" s="459"/>
      <c r="O1117" s="459"/>
      <c r="P1117" s="4"/>
    </row>
    <row r="1118" spans="3:16">
      <c r="C1118" s="449">
        <f>IF(D1076="","-",+C1117+1)</f>
        <v>2053</v>
      </c>
      <c r="D1118" s="412">
        <f t="shared" si="73"/>
        <v>982795.85128204513</v>
      </c>
      <c r="E1118" s="857">
        <f t="shared" si="74"/>
        <v>245698.96282051285</v>
      </c>
      <c r="F1118" s="412">
        <f t="shared" si="71"/>
        <v>737096.8884615323</v>
      </c>
      <c r="G1118" s="858">
        <f t="shared" si="75"/>
        <v>341932.28512879042</v>
      </c>
      <c r="H1118" s="859">
        <f t="shared" si="76"/>
        <v>341932.28512879042</v>
      </c>
      <c r="I1118" s="453">
        <f t="shared" si="72"/>
        <v>0</v>
      </c>
      <c r="J1118" s="453"/>
      <c r="K1118" s="566"/>
      <c r="L1118" s="459"/>
      <c r="M1118" s="566"/>
      <c r="N1118" s="459"/>
      <c r="O1118" s="459"/>
      <c r="P1118" s="4"/>
    </row>
    <row r="1119" spans="3:16">
      <c r="C1119" s="449">
        <f>IF(D1076="","-",+C1118+1)</f>
        <v>2054</v>
      </c>
      <c r="D1119" s="412">
        <f t="shared" si="73"/>
        <v>737096.8884615323</v>
      </c>
      <c r="E1119" s="857">
        <f t="shared" si="74"/>
        <v>245698.96282051285</v>
      </c>
      <c r="F1119" s="412">
        <f t="shared" si="71"/>
        <v>491397.92564101948</v>
      </c>
      <c r="G1119" s="858">
        <f t="shared" si="75"/>
        <v>314437.05018356803</v>
      </c>
      <c r="H1119" s="859">
        <f t="shared" si="76"/>
        <v>314437.05018356803</v>
      </c>
      <c r="I1119" s="453">
        <f t="shared" si="72"/>
        <v>0</v>
      </c>
      <c r="J1119" s="453"/>
      <c r="K1119" s="566"/>
      <c r="L1119" s="459"/>
      <c r="M1119" s="566"/>
      <c r="N1119" s="459"/>
      <c r="O1119" s="459"/>
      <c r="P1119" s="4"/>
    </row>
    <row r="1120" spans="3:16">
      <c r="C1120" s="449">
        <f>IF(D1076="","-",+C1119+1)</f>
        <v>2055</v>
      </c>
      <c r="D1120" s="412">
        <f t="shared" si="73"/>
        <v>491397.92564101948</v>
      </c>
      <c r="E1120" s="857">
        <f t="shared" si="74"/>
        <v>245698.96282051285</v>
      </c>
      <c r="F1120" s="412">
        <f t="shared" si="71"/>
        <v>245698.96282050663</v>
      </c>
      <c r="G1120" s="858">
        <f t="shared" si="75"/>
        <v>286941.81523834571</v>
      </c>
      <c r="H1120" s="859">
        <f t="shared" si="76"/>
        <v>286941.81523834571</v>
      </c>
      <c r="I1120" s="453">
        <f t="shared" si="72"/>
        <v>0</v>
      </c>
      <c r="J1120" s="453"/>
      <c r="K1120" s="566"/>
      <c r="L1120" s="459"/>
      <c r="M1120" s="566"/>
      <c r="N1120" s="459"/>
      <c r="O1120" s="459"/>
      <c r="P1120" s="4"/>
    </row>
    <row r="1121" spans="3:16">
      <c r="C1121" s="449">
        <f>IF(D1076="","-",+C1120+1)</f>
        <v>2056</v>
      </c>
      <c r="D1121" s="412">
        <f t="shared" si="73"/>
        <v>245698.96282050663</v>
      </c>
      <c r="E1121" s="857">
        <f t="shared" si="74"/>
        <v>245698.96282050663</v>
      </c>
      <c r="F1121" s="412">
        <f t="shared" si="71"/>
        <v>0</v>
      </c>
      <c r="G1121" s="858">
        <f t="shared" si="75"/>
        <v>259446.58029311747</v>
      </c>
      <c r="H1121" s="859">
        <f t="shared" si="76"/>
        <v>259446.58029311747</v>
      </c>
      <c r="I1121" s="453">
        <f t="shared" si="72"/>
        <v>0</v>
      </c>
      <c r="J1121" s="453"/>
      <c r="K1121" s="566"/>
      <c r="L1121" s="459"/>
      <c r="M1121" s="566"/>
      <c r="N1121" s="459"/>
      <c r="O1121" s="459"/>
      <c r="P1121" s="4"/>
    </row>
    <row r="1122" spans="3:16">
      <c r="C1122" s="449">
        <f>IF(D1076="","-",+C1121+1)</f>
        <v>2057</v>
      </c>
      <c r="D1122" s="412">
        <f t="shared" si="73"/>
        <v>0</v>
      </c>
      <c r="E1122" s="857">
        <f t="shared" si="74"/>
        <v>0</v>
      </c>
      <c r="F1122" s="412">
        <f t="shared" si="71"/>
        <v>0</v>
      </c>
      <c r="G1122" s="858">
        <f t="shared" si="75"/>
        <v>0</v>
      </c>
      <c r="H1122" s="859">
        <f t="shared" si="76"/>
        <v>0</v>
      </c>
      <c r="I1122" s="453">
        <f t="shared" si="72"/>
        <v>0</v>
      </c>
      <c r="J1122" s="453"/>
      <c r="K1122" s="566"/>
      <c r="L1122" s="459"/>
      <c r="M1122" s="566"/>
      <c r="N1122" s="459"/>
      <c r="O1122" s="459"/>
      <c r="P1122" s="4"/>
    </row>
    <row r="1123" spans="3:16">
      <c r="C1123" s="449">
        <f>IF(D1076="","-",+C1122+1)</f>
        <v>2058</v>
      </c>
      <c r="D1123" s="412">
        <f t="shared" si="73"/>
        <v>0</v>
      </c>
      <c r="E1123" s="857">
        <f t="shared" si="74"/>
        <v>0</v>
      </c>
      <c r="F1123" s="412">
        <f t="shared" si="71"/>
        <v>0</v>
      </c>
      <c r="G1123" s="858">
        <f t="shared" si="75"/>
        <v>0</v>
      </c>
      <c r="H1123" s="859">
        <f t="shared" si="76"/>
        <v>0</v>
      </c>
      <c r="I1123" s="453">
        <f t="shared" si="72"/>
        <v>0</v>
      </c>
      <c r="J1123" s="453"/>
      <c r="K1123" s="566"/>
      <c r="L1123" s="459"/>
      <c r="M1123" s="566"/>
      <c r="N1123" s="459"/>
      <c r="O1123" s="459"/>
      <c r="P1123" s="4"/>
    </row>
    <row r="1124" spans="3:16">
      <c r="C1124" s="449">
        <f>IF(D1076="","-",+C1123+1)</f>
        <v>2059</v>
      </c>
      <c r="D1124" s="412">
        <f t="shared" si="73"/>
        <v>0</v>
      </c>
      <c r="E1124" s="857">
        <f t="shared" si="74"/>
        <v>0</v>
      </c>
      <c r="F1124" s="412">
        <f t="shared" si="71"/>
        <v>0</v>
      </c>
      <c r="G1124" s="858">
        <f t="shared" si="75"/>
        <v>0</v>
      </c>
      <c r="H1124" s="859">
        <f t="shared" si="76"/>
        <v>0</v>
      </c>
      <c r="I1124" s="453">
        <f t="shared" si="72"/>
        <v>0</v>
      </c>
      <c r="J1124" s="453"/>
      <c r="K1124" s="566"/>
      <c r="L1124" s="459"/>
      <c r="M1124" s="566"/>
      <c r="N1124" s="459"/>
      <c r="O1124" s="459"/>
      <c r="P1124" s="4"/>
    </row>
    <row r="1125" spans="3:16">
      <c r="C1125" s="449">
        <f>IF(D1076="","-",+C1124+1)</f>
        <v>2060</v>
      </c>
      <c r="D1125" s="412">
        <f t="shared" si="73"/>
        <v>0</v>
      </c>
      <c r="E1125" s="857">
        <f t="shared" si="74"/>
        <v>0</v>
      </c>
      <c r="F1125" s="412">
        <f t="shared" si="71"/>
        <v>0</v>
      </c>
      <c r="G1125" s="858">
        <f t="shared" si="75"/>
        <v>0</v>
      </c>
      <c r="H1125" s="859">
        <f t="shared" si="76"/>
        <v>0</v>
      </c>
      <c r="I1125" s="453">
        <f t="shared" si="72"/>
        <v>0</v>
      </c>
      <c r="J1125" s="453"/>
      <c r="K1125" s="566"/>
      <c r="L1125" s="459"/>
      <c r="M1125" s="566"/>
      <c r="N1125" s="459"/>
      <c r="O1125" s="459"/>
      <c r="P1125" s="4"/>
    </row>
    <row r="1126" spans="3:16">
      <c r="C1126" s="449">
        <f>IF(D1076="","-",+C1125+1)</f>
        <v>2061</v>
      </c>
      <c r="D1126" s="412">
        <f t="shared" si="73"/>
        <v>0</v>
      </c>
      <c r="E1126" s="857">
        <f t="shared" si="74"/>
        <v>0</v>
      </c>
      <c r="F1126" s="412">
        <f t="shared" si="71"/>
        <v>0</v>
      </c>
      <c r="G1126" s="858">
        <f t="shared" si="75"/>
        <v>0</v>
      </c>
      <c r="H1126" s="859">
        <f t="shared" si="76"/>
        <v>0</v>
      </c>
      <c r="I1126" s="453">
        <f t="shared" si="72"/>
        <v>0</v>
      </c>
      <c r="J1126" s="453"/>
      <c r="K1126" s="566"/>
      <c r="L1126" s="459"/>
      <c r="M1126" s="566"/>
      <c r="N1126" s="459"/>
      <c r="O1126" s="459"/>
      <c r="P1126" s="4"/>
    </row>
    <row r="1127" spans="3:16">
      <c r="C1127" s="449">
        <f>IF(D1076="","-",+C1126+1)</f>
        <v>2062</v>
      </c>
      <c r="D1127" s="412">
        <f t="shared" si="73"/>
        <v>0</v>
      </c>
      <c r="E1127" s="857">
        <f t="shared" si="74"/>
        <v>0</v>
      </c>
      <c r="F1127" s="412">
        <f t="shared" si="71"/>
        <v>0</v>
      </c>
      <c r="G1127" s="858">
        <f t="shared" si="75"/>
        <v>0</v>
      </c>
      <c r="H1127" s="859">
        <f t="shared" si="76"/>
        <v>0</v>
      </c>
      <c r="I1127" s="453">
        <f t="shared" si="72"/>
        <v>0</v>
      </c>
      <c r="J1127" s="453"/>
      <c r="K1127" s="566"/>
      <c r="L1127" s="459"/>
      <c r="M1127" s="566"/>
      <c r="N1127" s="459"/>
      <c r="O1127" s="459"/>
      <c r="P1127" s="4"/>
    </row>
    <row r="1128" spans="3:16">
      <c r="C1128" s="449">
        <f>IF(D1076="","-",+C1127+1)</f>
        <v>2063</v>
      </c>
      <c r="D1128" s="412">
        <f t="shared" si="73"/>
        <v>0</v>
      </c>
      <c r="E1128" s="857">
        <f t="shared" si="74"/>
        <v>0</v>
      </c>
      <c r="F1128" s="412">
        <f t="shared" si="71"/>
        <v>0</v>
      </c>
      <c r="G1128" s="858">
        <f t="shared" si="75"/>
        <v>0</v>
      </c>
      <c r="H1128" s="859">
        <f t="shared" si="76"/>
        <v>0</v>
      </c>
      <c r="I1128" s="453">
        <f t="shared" si="72"/>
        <v>0</v>
      </c>
      <c r="J1128" s="453"/>
      <c r="K1128" s="566"/>
      <c r="L1128" s="459"/>
      <c r="M1128" s="566"/>
      <c r="N1128" s="459"/>
      <c r="O1128" s="459"/>
      <c r="P1128" s="4"/>
    </row>
    <row r="1129" spans="3:16">
      <c r="C1129" s="449">
        <f>IF(D1076="","-",+C1128+1)</f>
        <v>2064</v>
      </c>
      <c r="D1129" s="412">
        <f t="shared" si="73"/>
        <v>0</v>
      </c>
      <c r="E1129" s="857">
        <f t="shared" si="74"/>
        <v>0</v>
      </c>
      <c r="F1129" s="412">
        <f t="shared" si="71"/>
        <v>0</v>
      </c>
      <c r="G1129" s="858">
        <f t="shared" si="75"/>
        <v>0</v>
      </c>
      <c r="H1129" s="859">
        <f t="shared" si="76"/>
        <v>0</v>
      </c>
      <c r="I1129" s="453">
        <f t="shared" si="72"/>
        <v>0</v>
      </c>
      <c r="J1129" s="453"/>
      <c r="K1129" s="566"/>
      <c r="L1129" s="459"/>
      <c r="M1129" s="566"/>
      <c r="N1129" s="459"/>
      <c r="O1129" s="459"/>
      <c r="P1129" s="4"/>
    </row>
    <row r="1130" spans="3:16">
      <c r="C1130" s="449">
        <f>IF(D1076="","-",+C1129+1)</f>
        <v>2065</v>
      </c>
      <c r="D1130" s="412">
        <f t="shared" si="73"/>
        <v>0</v>
      </c>
      <c r="E1130" s="857">
        <f t="shared" si="74"/>
        <v>0</v>
      </c>
      <c r="F1130" s="412">
        <f t="shared" si="71"/>
        <v>0</v>
      </c>
      <c r="G1130" s="858">
        <f t="shared" si="75"/>
        <v>0</v>
      </c>
      <c r="H1130" s="859">
        <f t="shared" si="76"/>
        <v>0</v>
      </c>
      <c r="I1130" s="453">
        <f t="shared" si="72"/>
        <v>0</v>
      </c>
      <c r="J1130" s="453"/>
      <c r="K1130" s="566"/>
      <c r="L1130" s="459"/>
      <c r="M1130" s="566"/>
      <c r="N1130" s="459"/>
      <c r="O1130" s="459"/>
      <c r="P1130" s="4"/>
    </row>
    <row r="1131" spans="3:16">
      <c r="C1131" s="449">
        <f>IF(D1076="","-",+C1130+1)</f>
        <v>2066</v>
      </c>
      <c r="D1131" s="412">
        <f t="shared" si="73"/>
        <v>0</v>
      </c>
      <c r="E1131" s="857">
        <f t="shared" si="74"/>
        <v>0</v>
      </c>
      <c r="F1131" s="412">
        <f t="shared" si="71"/>
        <v>0</v>
      </c>
      <c r="G1131" s="858">
        <f t="shared" si="75"/>
        <v>0</v>
      </c>
      <c r="H1131" s="859">
        <f t="shared" si="76"/>
        <v>0</v>
      </c>
      <c r="I1131" s="453">
        <f t="shared" si="72"/>
        <v>0</v>
      </c>
      <c r="J1131" s="453"/>
      <c r="K1131" s="566"/>
      <c r="L1131" s="459"/>
      <c r="M1131" s="566"/>
      <c r="N1131" s="459"/>
      <c r="O1131" s="459"/>
      <c r="P1131" s="4"/>
    </row>
    <row r="1132" spans="3:16">
      <c r="C1132" s="449">
        <f>IF(D1076="","-",+C1131+1)</f>
        <v>2067</v>
      </c>
      <c r="D1132" s="412">
        <f t="shared" si="73"/>
        <v>0</v>
      </c>
      <c r="E1132" s="857">
        <f t="shared" si="74"/>
        <v>0</v>
      </c>
      <c r="F1132" s="412">
        <f t="shared" si="71"/>
        <v>0</v>
      </c>
      <c r="G1132" s="858">
        <f t="shared" si="75"/>
        <v>0</v>
      </c>
      <c r="H1132" s="859">
        <f t="shared" si="76"/>
        <v>0</v>
      </c>
      <c r="I1132" s="453">
        <f t="shared" si="72"/>
        <v>0</v>
      </c>
      <c r="J1132" s="453"/>
      <c r="K1132" s="566"/>
      <c r="L1132" s="459"/>
      <c r="M1132" s="566"/>
      <c r="N1132" s="459"/>
      <c r="O1132" s="459"/>
      <c r="P1132" s="4"/>
    </row>
    <row r="1133" spans="3:16">
      <c r="C1133" s="449">
        <f>IF(D1076="","-",+C1132+1)</f>
        <v>2068</v>
      </c>
      <c r="D1133" s="412">
        <f t="shared" si="73"/>
        <v>0</v>
      </c>
      <c r="E1133" s="857">
        <f t="shared" si="74"/>
        <v>0</v>
      </c>
      <c r="F1133" s="412">
        <f t="shared" si="71"/>
        <v>0</v>
      </c>
      <c r="G1133" s="858">
        <f t="shared" si="75"/>
        <v>0</v>
      </c>
      <c r="H1133" s="859">
        <f t="shared" si="76"/>
        <v>0</v>
      </c>
      <c r="I1133" s="453">
        <f t="shared" si="72"/>
        <v>0</v>
      </c>
      <c r="J1133" s="453"/>
      <c r="K1133" s="566"/>
      <c r="L1133" s="459"/>
      <c r="M1133" s="566"/>
      <c r="N1133" s="459"/>
      <c r="O1133" s="459"/>
      <c r="P1133" s="4"/>
    </row>
    <row r="1134" spans="3:16">
      <c r="C1134" s="449">
        <f>IF(D1076="","-",+C1133+1)</f>
        <v>2069</v>
      </c>
      <c r="D1134" s="412">
        <f t="shared" si="73"/>
        <v>0</v>
      </c>
      <c r="E1134" s="857">
        <f t="shared" si="74"/>
        <v>0</v>
      </c>
      <c r="F1134" s="412">
        <f t="shared" si="71"/>
        <v>0</v>
      </c>
      <c r="G1134" s="858">
        <f t="shared" si="75"/>
        <v>0</v>
      </c>
      <c r="H1134" s="859">
        <f t="shared" si="76"/>
        <v>0</v>
      </c>
      <c r="I1134" s="453">
        <f t="shared" si="72"/>
        <v>0</v>
      </c>
      <c r="J1134" s="453"/>
      <c r="K1134" s="566"/>
      <c r="L1134" s="459"/>
      <c r="M1134" s="566"/>
      <c r="N1134" s="459"/>
      <c r="O1134" s="459"/>
      <c r="P1134" s="4"/>
    </row>
    <row r="1135" spans="3:16">
      <c r="C1135" s="449">
        <f>IF(D1076="","-",+C1134+1)</f>
        <v>2070</v>
      </c>
      <c r="D1135" s="412">
        <f t="shared" si="73"/>
        <v>0</v>
      </c>
      <c r="E1135" s="857">
        <f t="shared" si="74"/>
        <v>0</v>
      </c>
      <c r="F1135" s="412">
        <f t="shared" si="71"/>
        <v>0</v>
      </c>
      <c r="G1135" s="858">
        <f t="shared" si="75"/>
        <v>0</v>
      </c>
      <c r="H1135" s="859">
        <f t="shared" si="76"/>
        <v>0</v>
      </c>
      <c r="I1135" s="453">
        <f t="shared" si="72"/>
        <v>0</v>
      </c>
      <c r="J1135" s="453"/>
      <c r="K1135" s="566"/>
      <c r="L1135" s="459"/>
      <c r="M1135" s="566"/>
      <c r="N1135" s="459"/>
      <c r="O1135" s="459"/>
      <c r="P1135" s="4"/>
    </row>
    <row r="1136" spans="3:16">
      <c r="C1136" s="449">
        <f>IF(D1076="","-",+C1135+1)</f>
        <v>2071</v>
      </c>
      <c r="D1136" s="412">
        <f t="shared" si="73"/>
        <v>0</v>
      </c>
      <c r="E1136" s="857">
        <f t="shared" si="74"/>
        <v>0</v>
      </c>
      <c r="F1136" s="412">
        <f t="shared" si="71"/>
        <v>0</v>
      </c>
      <c r="G1136" s="858">
        <f t="shared" si="75"/>
        <v>0</v>
      </c>
      <c r="H1136" s="883">
        <f t="shared" si="76"/>
        <v>0</v>
      </c>
      <c r="I1136" s="453">
        <f t="shared" si="72"/>
        <v>0</v>
      </c>
      <c r="J1136" s="453"/>
      <c r="K1136" s="566"/>
      <c r="L1136" s="459"/>
      <c r="M1136" s="566"/>
      <c r="N1136" s="459"/>
      <c r="O1136" s="459"/>
      <c r="P1136" s="4"/>
    </row>
    <row r="1137" spans="1:16">
      <c r="C1137" s="449">
        <f>IF(D1076="","-",+C1136+1)</f>
        <v>2072</v>
      </c>
      <c r="D1137" s="412">
        <f t="shared" si="73"/>
        <v>0</v>
      </c>
      <c r="E1137" s="857">
        <f t="shared" si="74"/>
        <v>0</v>
      </c>
      <c r="F1137" s="412">
        <f t="shared" si="71"/>
        <v>0</v>
      </c>
      <c r="G1137" s="858">
        <f t="shared" si="75"/>
        <v>0</v>
      </c>
      <c r="H1137" s="883">
        <f t="shared" si="76"/>
        <v>0</v>
      </c>
      <c r="I1137" s="453">
        <f t="shared" si="72"/>
        <v>0</v>
      </c>
      <c r="J1137" s="453"/>
      <c r="K1137" s="566"/>
      <c r="L1137" s="459"/>
      <c r="M1137" s="566"/>
      <c r="N1137" s="459"/>
      <c r="O1137" s="459"/>
      <c r="P1137" s="4"/>
    </row>
    <row r="1138" spans="1:16">
      <c r="C1138" s="449">
        <f>IF(D1076="","-",+C1137+1)</f>
        <v>2073</v>
      </c>
      <c r="D1138" s="412">
        <f t="shared" si="73"/>
        <v>0</v>
      </c>
      <c r="E1138" s="857">
        <f t="shared" si="74"/>
        <v>0</v>
      </c>
      <c r="F1138" s="412">
        <f t="shared" si="71"/>
        <v>0</v>
      </c>
      <c r="G1138" s="858">
        <f t="shared" si="75"/>
        <v>0</v>
      </c>
      <c r="H1138" s="883">
        <f t="shared" si="76"/>
        <v>0</v>
      </c>
      <c r="I1138" s="453">
        <f t="shared" si="72"/>
        <v>0</v>
      </c>
      <c r="J1138" s="453"/>
      <c r="K1138" s="566"/>
      <c r="L1138" s="459"/>
      <c r="M1138" s="566"/>
      <c r="N1138" s="459"/>
      <c r="O1138" s="459"/>
      <c r="P1138" s="4"/>
    </row>
    <row r="1139" spans="1:16">
      <c r="C1139" s="449">
        <f>IF(D1076="","-",+C1138+1)</f>
        <v>2074</v>
      </c>
      <c r="D1139" s="412">
        <f t="shared" si="73"/>
        <v>0</v>
      </c>
      <c r="E1139" s="857">
        <f t="shared" si="74"/>
        <v>0</v>
      </c>
      <c r="F1139" s="412">
        <f t="shared" si="71"/>
        <v>0</v>
      </c>
      <c r="G1139" s="858">
        <f t="shared" si="75"/>
        <v>0</v>
      </c>
      <c r="H1139" s="883">
        <f t="shared" si="76"/>
        <v>0</v>
      </c>
      <c r="I1139" s="453">
        <f t="shared" si="72"/>
        <v>0</v>
      </c>
      <c r="J1139" s="453"/>
      <c r="K1139" s="566"/>
      <c r="L1139" s="459"/>
      <c r="M1139" s="566"/>
      <c r="N1139" s="459"/>
      <c r="O1139" s="459"/>
      <c r="P1139" s="4"/>
    </row>
    <row r="1140" spans="1:16">
      <c r="C1140" s="449">
        <f>IF(D1076="","-",+C1139+1)</f>
        <v>2075</v>
      </c>
      <c r="D1140" s="412">
        <f t="shared" si="73"/>
        <v>0</v>
      </c>
      <c r="E1140" s="857">
        <f t="shared" si="74"/>
        <v>0</v>
      </c>
      <c r="F1140" s="412">
        <f t="shared" si="71"/>
        <v>0</v>
      </c>
      <c r="G1140" s="858">
        <f t="shared" si="75"/>
        <v>0</v>
      </c>
      <c r="H1140" s="883">
        <f t="shared" si="76"/>
        <v>0</v>
      </c>
      <c r="I1140" s="453">
        <f t="shared" si="72"/>
        <v>0</v>
      </c>
      <c r="J1140" s="453"/>
      <c r="K1140" s="566"/>
      <c r="L1140" s="459"/>
      <c r="M1140" s="566"/>
      <c r="N1140" s="459"/>
      <c r="O1140" s="459"/>
      <c r="P1140" s="4"/>
    </row>
    <row r="1141" spans="1:16" ht="13.5" thickBot="1">
      <c r="C1141" s="461">
        <f>IF(D1076="","-",+C1140+1)</f>
        <v>2076</v>
      </c>
      <c r="D1141" s="462">
        <f t="shared" si="73"/>
        <v>0</v>
      </c>
      <c r="E1141" s="880">
        <f t="shared" si="74"/>
        <v>0</v>
      </c>
      <c r="F1141" s="462">
        <f t="shared" si="71"/>
        <v>0</v>
      </c>
      <c r="G1141" s="884">
        <f t="shared" si="75"/>
        <v>0</v>
      </c>
      <c r="H1141" s="886">
        <f t="shared" si="76"/>
        <v>0</v>
      </c>
      <c r="I1141" s="465">
        <f t="shared" si="72"/>
        <v>0</v>
      </c>
      <c r="J1141" s="453"/>
      <c r="K1141" s="567"/>
      <c r="L1141" s="467"/>
      <c r="M1141" s="567"/>
      <c r="N1141" s="467"/>
      <c r="O1141" s="467"/>
      <c r="P1141" s="4"/>
    </row>
    <row r="1142" spans="1:16">
      <c r="C1142" s="412" t="s">
        <v>288</v>
      </c>
      <c r="D1142" s="832"/>
      <c r="E1142" s="832">
        <f>SUM(E1082:E1141)</f>
        <v>9582259.5499999989</v>
      </c>
      <c r="F1142" s="832"/>
      <c r="G1142" s="832">
        <f>SUM(G1082:G1141)</f>
        <v>31564699.888705254</v>
      </c>
      <c r="H1142" s="832">
        <f>SUM(H1082:H1141)</f>
        <v>31564699.888705254</v>
      </c>
      <c r="I1142" s="832">
        <f>SUM(I1082:I1141)</f>
        <v>0</v>
      </c>
      <c r="J1142" s="832"/>
      <c r="K1142" s="832"/>
      <c r="L1142" s="832"/>
      <c r="M1142" s="832"/>
      <c r="N1142" s="832"/>
      <c r="O1142" s="4"/>
      <c r="P1142" s="4"/>
    </row>
    <row r="1143" spans="1:16">
      <c r="D1143" s="67"/>
      <c r="E1143" s="4"/>
      <c r="F1143" s="4"/>
      <c r="G1143" s="4"/>
      <c r="H1143" s="831"/>
      <c r="I1143" s="831"/>
      <c r="J1143" s="832"/>
      <c r="K1143" s="831"/>
      <c r="L1143" s="831"/>
      <c r="M1143" s="831"/>
      <c r="N1143" s="831"/>
      <c r="O1143" s="4"/>
      <c r="P1143" s="4"/>
    </row>
    <row r="1144" spans="1:16">
      <c r="C1144" s="4" t="s">
        <v>601</v>
      </c>
      <c r="D1144" s="67"/>
      <c r="E1144" s="4"/>
      <c r="F1144" s="4"/>
      <c r="G1144" s="4"/>
      <c r="H1144" s="831"/>
      <c r="I1144" s="831"/>
      <c r="J1144" s="832"/>
      <c r="K1144" s="831"/>
      <c r="L1144" s="831"/>
      <c r="M1144" s="831"/>
      <c r="N1144" s="831"/>
      <c r="O1144" s="4"/>
      <c r="P1144" s="4"/>
    </row>
    <row r="1145" spans="1:16">
      <c r="D1145" s="67"/>
      <c r="E1145" s="4"/>
      <c r="F1145" s="4"/>
      <c r="G1145" s="4"/>
      <c r="H1145" s="831"/>
      <c r="I1145" s="831"/>
      <c r="J1145" s="832"/>
      <c r="K1145" s="831"/>
      <c r="L1145" s="831"/>
      <c r="M1145" s="831"/>
      <c r="N1145" s="831"/>
      <c r="O1145" s="4"/>
      <c r="P1145" s="4"/>
    </row>
    <row r="1146" spans="1:16">
      <c r="C1146" s="4" t="s">
        <v>602</v>
      </c>
      <c r="D1146" s="412"/>
      <c r="E1146" s="412"/>
      <c r="F1146" s="412"/>
      <c r="G1146" s="832"/>
      <c r="H1146" s="832"/>
      <c r="I1146" s="414"/>
      <c r="J1146" s="414"/>
      <c r="K1146" s="414"/>
      <c r="L1146" s="414"/>
      <c r="M1146" s="414"/>
      <c r="N1146" s="414"/>
      <c r="O1146" s="4"/>
      <c r="P1146" s="4"/>
    </row>
    <row r="1147" spans="1:16">
      <c r="C1147" s="4" t="s">
        <v>476</v>
      </c>
      <c r="D1147" s="412"/>
      <c r="E1147" s="412"/>
      <c r="F1147" s="412"/>
      <c r="G1147" s="832"/>
      <c r="H1147" s="832"/>
      <c r="I1147" s="414"/>
      <c r="J1147" s="414"/>
      <c r="K1147" s="414"/>
      <c r="L1147" s="414"/>
      <c r="M1147" s="414"/>
      <c r="N1147" s="414"/>
      <c r="O1147" s="4"/>
      <c r="P1147" s="4"/>
    </row>
    <row r="1148" spans="1:16">
      <c r="C1148" s="4" t="s">
        <v>289</v>
      </c>
      <c r="D1148" s="412"/>
      <c r="E1148" s="412"/>
      <c r="F1148" s="412"/>
      <c r="G1148" s="832"/>
      <c r="H1148" s="832"/>
      <c r="I1148" s="414"/>
      <c r="J1148" s="414"/>
      <c r="K1148" s="414"/>
      <c r="L1148" s="414"/>
      <c r="M1148" s="414"/>
      <c r="N1148" s="414"/>
      <c r="O1148" s="4"/>
      <c r="P1148" s="4"/>
    </row>
    <row r="1149" spans="1:16">
      <c r="C1149" s="413"/>
      <c r="D1149" s="412"/>
      <c r="E1149" s="412"/>
      <c r="F1149" s="412"/>
      <c r="G1149" s="832"/>
      <c r="H1149" s="832"/>
      <c r="I1149" s="414"/>
      <c r="J1149" s="414"/>
      <c r="K1149" s="414"/>
      <c r="L1149" s="414"/>
      <c r="M1149" s="414"/>
      <c r="N1149" s="414"/>
      <c r="O1149" s="4"/>
      <c r="P1149" s="4"/>
    </row>
    <row r="1150" spans="1:16">
      <c r="C1150" s="1279" t="s">
        <v>460</v>
      </c>
      <c r="D1150" s="1279"/>
      <c r="E1150" s="1279"/>
      <c r="F1150" s="1279"/>
      <c r="G1150" s="1279"/>
      <c r="H1150" s="1279"/>
      <c r="I1150" s="1279"/>
      <c r="J1150" s="1279"/>
      <c r="K1150" s="1279"/>
      <c r="L1150" s="1279"/>
      <c r="M1150" s="1279"/>
      <c r="N1150" s="1279"/>
      <c r="O1150" s="1279"/>
      <c r="P1150" s="4"/>
    </row>
    <row r="1151" spans="1:16">
      <c r="C1151" s="1279"/>
      <c r="D1151" s="1279"/>
      <c r="E1151" s="1279"/>
      <c r="F1151" s="1279"/>
      <c r="G1151" s="1279"/>
      <c r="H1151" s="1279"/>
      <c r="I1151" s="1279"/>
      <c r="J1151" s="1279"/>
      <c r="K1151" s="1279"/>
      <c r="L1151" s="1279"/>
      <c r="M1151" s="1279"/>
      <c r="N1151" s="1279"/>
      <c r="O1151" s="1279"/>
      <c r="P1151" s="4"/>
    </row>
    <row r="1152" spans="1:16" ht="20.25">
      <c r="A1152" s="352" t="s">
        <v>929</v>
      </c>
      <c r="B1152" s="4"/>
      <c r="C1152" s="4"/>
      <c r="D1152" s="67"/>
      <c r="E1152" s="4"/>
      <c r="F1152" s="394"/>
      <c r="G1152" s="4"/>
      <c r="H1152" s="831"/>
      <c r="K1152" s="353"/>
      <c r="L1152" s="353"/>
      <c r="M1152" s="353"/>
      <c r="N1152" s="353" t="str">
        <f>"Page "&amp;SUM(P$6:P1152)&amp;" of "</f>
        <v xml:space="preserve">Page 14 of </v>
      </c>
      <c r="O1152" s="354">
        <f>COUNT(P$6:P$59606)</f>
        <v>18</v>
      </c>
      <c r="P1152" s="4">
        <v>1</v>
      </c>
    </row>
    <row r="1153" spans="2:16">
      <c r="B1153" s="4"/>
      <c r="C1153" s="4"/>
      <c r="D1153" s="67"/>
      <c r="E1153" s="4"/>
      <c r="F1153" s="4"/>
      <c r="G1153" s="4"/>
      <c r="H1153" s="831"/>
      <c r="I1153" s="4"/>
      <c r="J1153" s="4"/>
      <c r="K1153" s="4"/>
      <c r="L1153" s="4"/>
      <c r="M1153" s="4"/>
      <c r="N1153" s="4"/>
      <c r="O1153" s="4"/>
      <c r="P1153" s="4"/>
    </row>
    <row r="1154" spans="2:16" ht="18">
      <c r="B1154" s="355" t="s">
        <v>174</v>
      </c>
      <c r="C1154" s="415" t="s">
        <v>290</v>
      </c>
      <c r="D1154" s="67"/>
      <c r="E1154" s="4"/>
      <c r="F1154" s="4"/>
      <c r="G1154" s="4"/>
      <c r="H1154" s="831"/>
      <c r="I1154" s="831"/>
      <c r="J1154" s="832"/>
      <c r="K1154" s="831"/>
      <c r="L1154" s="831"/>
      <c r="M1154" s="831"/>
      <c r="N1154" s="831"/>
      <c r="O1154" s="4"/>
      <c r="P1154" s="4"/>
    </row>
    <row r="1155" spans="2:16" ht="18.75">
      <c r="B1155" s="355"/>
      <c r="C1155" s="11"/>
      <c r="D1155" s="67"/>
      <c r="E1155" s="4"/>
      <c r="F1155" s="4"/>
      <c r="G1155" s="4"/>
      <c r="H1155" s="831"/>
      <c r="I1155" s="831"/>
      <c r="J1155" s="832"/>
      <c r="K1155" s="831"/>
      <c r="L1155" s="831"/>
      <c r="M1155" s="831"/>
      <c r="N1155" s="831"/>
      <c r="O1155" s="4"/>
      <c r="P1155" s="4"/>
    </row>
    <row r="1156" spans="2:16" ht="18.75">
      <c r="B1156" s="355"/>
      <c r="C1156" s="11" t="s">
        <v>291</v>
      </c>
      <c r="D1156" s="67"/>
      <c r="E1156" s="4"/>
      <c r="F1156" s="4"/>
      <c r="G1156" s="4"/>
      <c r="H1156" s="831"/>
      <c r="I1156" s="831"/>
      <c r="J1156" s="832"/>
      <c r="K1156" s="831"/>
      <c r="L1156" s="831"/>
      <c r="M1156" s="831"/>
      <c r="N1156" s="831"/>
      <c r="O1156" s="4"/>
      <c r="P1156" s="4"/>
    </row>
    <row r="1157" spans="2:16" ht="15.75" thickBot="1">
      <c r="C1157" s="203"/>
      <c r="D1157" s="67"/>
      <c r="E1157" s="4"/>
      <c r="F1157" s="4"/>
      <c r="G1157" s="4"/>
      <c r="H1157" s="831"/>
      <c r="I1157" s="831"/>
      <c r="J1157" s="832"/>
      <c r="K1157" s="831"/>
      <c r="L1157" s="831"/>
      <c r="M1157" s="831"/>
      <c r="N1157" s="831"/>
      <c r="O1157" s="4"/>
      <c r="P1157" s="4"/>
    </row>
    <row r="1158" spans="2:16" ht="15.75">
      <c r="C1158" s="356" t="s">
        <v>292</v>
      </c>
      <c r="D1158" s="67"/>
      <c r="E1158" s="4"/>
      <c r="F1158" s="4"/>
      <c r="G1158" s="833"/>
      <c r="H1158" s="4" t="s">
        <v>271</v>
      </c>
      <c r="I1158" s="4"/>
      <c r="J1158" s="4"/>
      <c r="K1158" s="416" t="s">
        <v>296</v>
      </c>
      <c r="L1158" s="417"/>
      <c r="M1158" s="418"/>
      <c r="N1158" s="834">
        <f>VLOOKUP(I1164,C1171:O1230,5)</f>
        <v>8069973.8961207503</v>
      </c>
      <c r="O1158" s="4"/>
      <c r="P1158" s="4"/>
    </row>
    <row r="1159" spans="2:16" ht="15.75">
      <c r="C1159" s="356"/>
      <c r="D1159" s="67"/>
      <c r="E1159" s="4"/>
      <c r="F1159" s="4"/>
      <c r="G1159" s="4"/>
      <c r="H1159" s="835"/>
      <c r="I1159" s="835"/>
      <c r="J1159" s="836"/>
      <c r="K1159" s="421" t="s">
        <v>297</v>
      </c>
      <c r="L1159" s="837"/>
      <c r="M1159" s="4"/>
      <c r="N1159" s="838">
        <f>VLOOKUP(I1164,C1171:O1230,6)</f>
        <v>8069973.8961207503</v>
      </c>
      <c r="O1159" s="4"/>
      <c r="P1159" s="4"/>
    </row>
    <row r="1160" spans="2:16" ht="13.5" thickBot="1">
      <c r="C1160" s="422" t="s">
        <v>293</v>
      </c>
      <c r="D1160" s="1277" t="s">
        <v>943</v>
      </c>
      <c r="E1160" s="1277"/>
      <c r="F1160" s="1277"/>
      <c r="G1160" s="1277"/>
      <c r="H1160" s="1277"/>
      <c r="I1160" s="831"/>
      <c r="J1160" s="832"/>
      <c r="K1160" s="839" t="s">
        <v>450</v>
      </c>
      <c r="L1160" s="840"/>
      <c r="M1160" s="840"/>
      <c r="N1160" s="841">
        <f>+N1159-N1158</f>
        <v>0</v>
      </c>
      <c r="O1160" s="4"/>
      <c r="P1160" s="4"/>
    </row>
    <row r="1161" spans="2:16">
      <c r="C1161" s="424"/>
      <c r="D1161" s="425"/>
      <c r="E1161" s="412"/>
      <c r="F1161" s="412"/>
      <c r="G1161" s="426"/>
      <c r="H1161" s="831"/>
      <c r="I1161" s="831"/>
      <c r="J1161" s="832"/>
      <c r="K1161" s="831"/>
      <c r="L1161" s="831"/>
      <c r="M1161" s="831"/>
      <c r="N1161" s="831"/>
      <c r="O1161" s="4"/>
      <c r="P1161" s="4"/>
    </row>
    <row r="1162" spans="2:16" ht="13.5" thickBot="1">
      <c r="C1162" s="424"/>
      <c r="D1162" s="4"/>
      <c r="E1162" s="426"/>
      <c r="F1162" s="426"/>
      <c r="G1162" s="426"/>
      <c r="H1162" s="426"/>
      <c r="I1162" s="426"/>
      <c r="J1162" s="426"/>
      <c r="K1162" s="426"/>
      <c r="L1162" s="426"/>
      <c r="M1162" s="426"/>
      <c r="N1162" s="426"/>
      <c r="O1162" s="4"/>
      <c r="P1162" s="4"/>
    </row>
    <row r="1163" spans="2:16" ht="13.5" thickBot="1">
      <c r="C1163" s="427" t="s">
        <v>294</v>
      </c>
      <c r="D1163" s="428"/>
      <c r="E1163" s="428"/>
      <c r="F1163" s="428"/>
      <c r="G1163" s="428"/>
      <c r="H1163" s="428"/>
      <c r="I1163" s="429"/>
      <c r="K1163" s="4"/>
      <c r="L1163" s="4"/>
      <c r="M1163" s="4"/>
      <c r="N1163" s="4"/>
      <c r="O1163" s="4"/>
      <c r="P1163" s="4"/>
    </row>
    <row r="1164" spans="2:16" ht="15">
      <c r="C1164" s="430" t="s">
        <v>272</v>
      </c>
      <c r="D1164" s="842">
        <v>69840538.590000004</v>
      </c>
      <c r="E1164" s="4" t="s">
        <v>273</v>
      </c>
      <c r="G1164" s="67"/>
      <c r="H1164" s="67"/>
      <c r="I1164" s="431">
        <f>$L$26</f>
        <v>2026</v>
      </c>
      <c r="J1164" s="114"/>
      <c r="K1164" s="1278" t="s">
        <v>459</v>
      </c>
      <c r="L1164" s="1278"/>
      <c r="M1164" s="1278"/>
      <c r="N1164" s="1278"/>
      <c r="O1164" s="1278"/>
      <c r="P1164" s="4"/>
    </row>
    <row r="1165" spans="2:16">
      <c r="C1165" s="430" t="s">
        <v>275</v>
      </c>
      <c r="D1165" s="879">
        <v>2018</v>
      </c>
      <c r="E1165" s="430" t="s">
        <v>276</v>
      </c>
      <c r="F1165" s="67"/>
      <c r="I1165" s="564">
        <f>IF(G1158="",0,$F$15)</f>
        <v>0</v>
      </c>
      <c r="J1165" s="432"/>
      <c r="K1165" s="832" t="s">
        <v>459</v>
      </c>
      <c r="P1165" s="4"/>
    </row>
    <row r="1166" spans="2:16">
      <c r="C1166" s="430" t="s">
        <v>277</v>
      </c>
      <c r="D1166" s="842">
        <v>10</v>
      </c>
      <c r="E1166" s="430" t="s">
        <v>278</v>
      </c>
      <c r="F1166" s="67"/>
      <c r="I1166" s="433">
        <f>$G$70</f>
        <v>0.1119061905251431</v>
      </c>
      <c r="J1166" s="394"/>
      <c r="K1166" t="str">
        <f>"          INPUT PROJECTED ARR (WITH &amp; WITHOUT INCENTIVES) FROM EACH PRIOR YEAR"</f>
        <v xml:space="preserve">          INPUT PROJECTED ARR (WITH &amp; WITHOUT INCENTIVES) FROM EACH PRIOR YEAR</v>
      </c>
      <c r="P1166" s="4"/>
    </row>
    <row r="1167" spans="2:16">
      <c r="C1167" s="430" t="s">
        <v>279</v>
      </c>
      <c r="D1167" s="434">
        <f>G$79</f>
        <v>39</v>
      </c>
      <c r="E1167" s="430" t="s">
        <v>280</v>
      </c>
      <c r="F1167" s="67"/>
      <c r="I1167" s="433">
        <f>IF(G1158="",I1166,$G$67)</f>
        <v>0.1119061905251431</v>
      </c>
      <c r="J1167" s="394"/>
      <c r="K1167" t="s">
        <v>357</v>
      </c>
      <c r="P1167" s="4"/>
    </row>
    <row r="1168" spans="2:16" ht="13.5" thickBot="1">
      <c r="C1168" s="430" t="s">
        <v>281</v>
      </c>
      <c r="D1168" s="563" t="s">
        <v>931</v>
      </c>
      <c r="E1168" s="435" t="s">
        <v>282</v>
      </c>
      <c r="F1168" s="436"/>
      <c r="G1168" s="437"/>
      <c r="H1168" s="437"/>
      <c r="I1168" s="841">
        <f>IF(D1164=0,0,D1164/D1167)</f>
        <v>1790783.0407692308</v>
      </c>
      <c r="J1168" s="832"/>
      <c r="K1168" s="832" t="s">
        <v>363</v>
      </c>
      <c r="L1168" s="832"/>
      <c r="M1168" s="832"/>
      <c r="N1168" s="832"/>
      <c r="O1168" s="4"/>
      <c r="P1168" s="4"/>
    </row>
    <row r="1169" spans="1:16" ht="51">
      <c r="A1169" s="322"/>
      <c r="B1169" s="322"/>
      <c r="C1169" s="438" t="s">
        <v>272</v>
      </c>
      <c r="D1169" s="844" t="s">
        <v>283</v>
      </c>
      <c r="E1169" s="845" t="s">
        <v>284</v>
      </c>
      <c r="F1169" s="844" t="s">
        <v>285</v>
      </c>
      <c r="G1169" s="845" t="s">
        <v>356</v>
      </c>
      <c r="H1169" s="846" t="s">
        <v>356</v>
      </c>
      <c r="I1169" s="438" t="s">
        <v>295</v>
      </c>
      <c r="J1169" s="442"/>
      <c r="K1169" s="845" t="s">
        <v>365</v>
      </c>
      <c r="L1169" s="847"/>
      <c r="M1169" s="845" t="s">
        <v>365</v>
      </c>
      <c r="N1169" s="847"/>
      <c r="O1169" s="847"/>
      <c r="P1169" s="4"/>
    </row>
    <row r="1170" spans="1:16" ht="13.5" thickBot="1">
      <c r="C1170" s="444" t="s">
        <v>177</v>
      </c>
      <c r="D1170" s="445" t="s">
        <v>178</v>
      </c>
      <c r="E1170" s="444" t="s">
        <v>37</v>
      </c>
      <c r="F1170" s="445" t="s">
        <v>178</v>
      </c>
      <c r="G1170" s="848" t="s">
        <v>298</v>
      </c>
      <c r="H1170" s="849" t="s">
        <v>300</v>
      </c>
      <c r="I1170" s="444" t="s">
        <v>389</v>
      </c>
      <c r="J1170" s="448"/>
      <c r="K1170" s="848" t="s">
        <v>287</v>
      </c>
      <c r="L1170" s="850"/>
      <c r="M1170" s="848" t="s">
        <v>300</v>
      </c>
      <c r="N1170" s="850"/>
      <c r="O1170" s="850"/>
      <c r="P1170" s="4"/>
    </row>
    <row r="1171" spans="1:16">
      <c r="C1171" s="878">
        <f>IF(D1165= "","-",D1165)</f>
        <v>2018</v>
      </c>
      <c r="D1171" s="412">
        <f>+D1164</f>
        <v>69840538.590000004</v>
      </c>
      <c r="E1171" s="851">
        <f>+I1168/12*(12-D1166)</f>
        <v>298463.84012820513</v>
      </c>
      <c r="F1171" s="412">
        <f t="shared" ref="F1171:F1230" si="77">+D1171-E1171</f>
        <v>69542074.749871805</v>
      </c>
      <c r="G1171" s="852">
        <f>+$I$1166*((D1171+F1171)/2)+E1171</f>
        <v>8097352.4822802292</v>
      </c>
      <c r="H1171" s="853">
        <f>+$I$1167*((D1171+F1171)/2)+E1171</f>
        <v>8097352.4822802292</v>
      </c>
      <c r="I1171" s="453">
        <f t="shared" ref="I1171:I1230" si="78">+H1171-G1171</f>
        <v>0</v>
      </c>
      <c r="J1171" s="453"/>
      <c r="K1171" s="565">
        <v>8045448</v>
      </c>
      <c r="L1171" s="455"/>
      <c r="M1171" s="565">
        <v>8045448</v>
      </c>
      <c r="N1171" s="455"/>
      <c r="O1171" s="455"/>
      <c r="P1171" s="4"/>
    </row>
    <row r="1172" spans="1:16">
      <c r="C1172" s="449">
        <f>IF(D1165="","-",+C1171+1)</f>
        <v>2019</v>
      </c>
      <c r="D1172" s="856">
        <f t="shared" ref="D1172:D1230" si="79">F1171</f>
        <v>69542074.749871805</v>
      </c>
      <c r="E1172" s="857">
        <f>IF(D1172&gt;$I$1168,$I$1168,D1172)</f>
        <v>1790783.0407692308</v>
      </c>
      <c r="F1172" s="856">
        <f t="shared" si="77"/>
        <v>67751291.709102571</v>
      </c>
      <c r="G1172" s="858">
        <f>+$I$1166*((D1172+F1172)/2)+E1172</f>
        <v>9472771.8531673681</v>
      </c>
      <c r="H1172" s="859">
        <f>+$I$1167*((D1172+F1172)/2)+E1172</f>
        <v>9472771.8531673681</v>
      </c>
      <c r="I1172" s="865">
        <f t="shared" si="78"/>
        <v>0</v>
      </c>
      <c r="J1172" s="453"/>
      <c r="K1172" s="566">
        <v>8376603</v>
      </c>
      <c r="L1172" s="459"/>
      <c r="M1172" s="566">
        <v>8376603</v>
      </c>
      <c r="N1172" s="459"/>
      <c r="O1172" s="459"/>
      <c r="P1172" s="4"/>
    </row>
    <row r="1173" spans="1:16">
      <c r="C1173" s="449">
        <f>IF(D1165="","-",+C1172+1)</f>
        <v>2020</v>
      </c>
      <c r="D1173" s="412">
        <f t="shared" si="79"/>
        <v>67751291.709102571</v>
      </c>
      <c r="E1173" s="857">
        <f t="shared" ref="E1173:E1230" si="80">IF(D1173&gt;$I$1168,$I$1168,D1173)</f>
        <v>1790783.0407692308</v>
      </c>
      <c r="F1173" s="412">
        <f t="shared" si="77"/>
        <v>65960508.668333337</v>
      </c>
      <c r="G1173" s="858">
        <f t="shared" ref="G1173:G1230" si="81">+$I$1166*((D1173+F1173)/2)+E1173</f>
        <v>9272372.145017853</v>
      </c>
      <c r="H1173" s="859">
        <f t="shared" ref="H1173:H1230" si="82">+$I$1167*((D1173+F1173)/2)+E1173</f>
        <v>9272372.145017853</v>
      </c>
      <c r="I1173" s="453">
        <f t="shared" si="78"/>
        <v>0</v>
      </c>
      <c r="J1173" s="453"/>
      <c r="K1173" s="566">
        <v>4444448.7830443121</v>
      </c>
      <c r="L1173" s="864"/>
      <c r="M1173" s="566">
        <v>4444448.7830443121</v>
      </c>
      <c r="N1173" s="459"/>
      <c r="O1173" s="459"/>
      <c r="P1173" s="4"/>
    </row>
    <row r="1174" spans="1:16">
      <c r="C1174" s="449">
        <f>IF(D1165="","-",+C1173+1)</f>
        <v>2021</v>
      </c>
      <c r="D1174" s="412">
        <f t="shared" si="79"/>
        <v>65960508.668333337</v>
      </c>
      <c r="E1174" s="857">
        <f t="shared" si="80"/>
        <v>1790783.0407692308</v>
      </c>
      <c r="F1174" s="412">
        <f t="shared" si="77"/>
        <v>64169725.627564102</v>
      </c>
      <c r="G1174" s="858">
        <f t="shared" si="81"/>
        <v>9071972.4368683361</v>
      </c>
      <c r="H1174" s="859">
        <f t="shared" si="82"/>
        <v>9071972.4368683361</v>
      </c>
      <c r="I1174" s="453">
        <f t="shared" si="78"/>
        <v>0</v>
      </c>
      <c r="J1174" s="453"/>
      <c r="K1174" s="566">
        <v>8170471.5991193904</v>
      </c>
      <c r="L1174" s="459"/>
      <c r="M1174" s="566">
        <v>8170471.5991193904</v>
      </c>
      <c r="N1174" s="459"/>
      <c r="O1174" s="459"/>
      <c r="P1174" s="4"/>
    </row>
    <row r="1175" spans="1:16">
      <c r="C1175" s="449">
        <f>IF(D1166="","-",+C1174+1)</f>
        <v>2022</v>
      </c>
      <c r="D1175" s="412">
        <f t="shared" si="79"/>
        <v>64169725.627564102</v>
      </c>
      <c r="E1175" s="857">
        <f t="shared" si="80"/>
        <v>1790783.0407692308</v>
      </c>
      <c r="F1175" s="412">
        <f t="shared" si="77"/>
        <v>62378942.586794868</v>
      </c>
      <c r="G1175" s="858">
        <f t="shared" si="81"/>
        <v>8871572.7287188191</v>
      </c>
      <c r="H1175" s="859">
        <f t="shared" si="82"/>
        <v>8871572.7287188191</v>
      </c>
      <c r="I1175" s="453">
        <f t="shared" si="78"/>
        <v>0</v>
      </c>
      <c r="J1175" s="453"/>
      <c r="K1175" s="566">
        <v>8092331.2716201618</v>
      </c>
      <c r="L1175" s="459"/>
      <c r="M1175" s="566">
        <v>8092331.2716201618</v>
      </c>
      <c r="N1175" s="459"/>
      <c r="O1175" s="459"/>
      <c r="P1175" s="4"/>
    </row>
    <row r="1176" spans="1:16">
      <c r="C1176" s="449">
        <f>IF(D1166="","-",+C1175+1)</f>
        <v>2023</v>
      </c>
      <c r="D1176" s="412">
        <f t="shared" si="79"/>
        <v>62378942.586794868</v>
      </c>
      <c r="E1176" s="857">
        <f t="shared" si="80"/>
        <v>1790783.0407692308</v>
      </c>
      <c r="F1176" s="412">
        <f t="shared" si="77"/>
        <v>60588159.546025634</v>
      </c>
      <c r="G1176" s="858">
        <f t="shared" si="81"/>
        <v>8671173.0205693021</v>
      </c>
      <c r="H1176" s="859">
        <f t="shared" si="82"/>
        <v>8671173.0205693021</v>
      </c>
      <c r="I1176" s="453">
        <f t="shared" si="78"/>
        <v>0</v>
      </c>
      <c r="J1176" s="453"/>
      <c r="K1176" s="566">
        <v>8418535.7912043519</v>
      </c>
      <c r="L1176" s="459"/>
      <c r="M1176" s="566">
        <v>8418535.7912043519</v>
      </c>
      <c r="N1176" s="459"/>
      <c r="O1176" s="459"/>
      <c r="P1176" s="4"/>
    </row>
    <row r="1177" spans="1:16">
      <c r="C1177" s="449">
        <f>IF(D1165="","-",+C1176+1)</f>
        <v>2024</v>
      </c>
      <c r="D1177" s="412">
        <f t="shared" si="79"/>
        <v>60588159.546025634</v>
      </c>
      <c r="E1177" s="857">
        <f t="shared" si="80"/>
        <v>1790783.0407692308</v>
      </c>
      <c r="F1177" s="412">
        <f t="shared" si="77"/>
        <v>58797376.5052564</v>
      </c>
      <c r="G1177" s="858">
        <f t="shared" si="81"/>
        <v>8470773.3124197852</v>
      </c>
      <c r="H1177" s="859">
        <f t="shared" si="82"/>
        <v>8470773.3124197852</v>
      </c>
      <c r="I1177" s="453">
        <f t="shared" si="78"/>
        <v>0</v>
      </c>
      <c r="J1177" s="453"/>
      <c r="K1177" s="566">
        <v>8259550.7369593196</v>
      </c>
      <c r="L1177" s="459"/>
      <c r="M1177" s="566">
        <v>8259550.7369593196</v>
      </c>
      <c r="N1177" s="459"/>
      <c r="O1177" s="459"/>
      <c r="P1177" s="4"/>
    </row>
    <row r="1178" spans="1:16">
      <c r="C1178" s="449">
        <f>IF(D1165="","-",+C1177+1)</f>
        <v>2025</v>
      </c>
      <c r="D1178" s="856">
        <f t="shared" si="79"/>
        <v>58797376.5052564</v>
      </c>
      <c r="E1178" s="857">
        <f t="shared" si="80"/>
        <v>1790783.0407692308</v>
      </c>
      <c r="F1178" s="856">
        <f t="shared" si="77"/>
        <v>57006593.464487165</v>
      </c>
      <c r="G1178" s="858">
        <f t="shared" si="81"/>
        <v>8270373.6042702673</v>
      </c>
      <c r="H1178" s="859">
        <f t="shared" si="82"/>
        <v>8270373.6042702673</v>
      </c>
      <c r="I1178" s="865">
        <f t="shared" si="78"/>
        <v>0</v>
      </c>
      <c r="J1178" s="453"/>
      <c r="K1178" s="566">
        <v>8114283.4053079346</v>
      </c>
      <c r="L1178" s="459"/>
      <c r="M1178" s="566">
        <v>8114283.4053079346</v>
      </c>
      <c r="N1178" s="459"/>
      <c r="O1178" s="459"/>
      <c r="P1178" s="4"/>
    </row>
    <row r="1179" spans="1:16">
      <c r="C1179" s="855">
        <f>IF(D1165="","-",+C1178+1)</f>
        <v>2026</v>
      </c>
      <c r="D1179" s="412">
        <f t="shared" si="79"/>
        <v>57006593.464487165</v>
      </c>
      <c r="E1179" s="857">
        <f t="shared" si="80"/>
        <v>1790783.0407692308</v>
      </c>
      <c r="F1179" s="412">
        <f t="shared" si="77"/>
        <v>55215810.423717931</v>
      </c>
      <c r="G1179" s="858">
        <f t="shared" si="81"/>
        <v>8069973.8961207503</v>
      </c>
      <c r="H1179" s="859">
        <f t="shared" si="82"/>
        <v>8069973.8961207503</v>
      </c>
      <c r="I1179" s="453">
        <f t="shared" si="78"/>
        <v>0</v>
      </c>
      <c r="J1179" s="453"/>
      <c r="K1179" s="566"/>
      <c r="L1179" s="459"/>
      <c r="M1179" s="566"/>
      <c r="N1179" s="459"/>
      <c r="O1179" s="459"/>
      <c r="P1179" s="4"/>
    </row>
    <row r="1180" spans="1:16">
      <c r="C1180" s="449">
        <f>IF(D1165="","-",+C1179+1)</f>
        <v>2027</v>
      </c>
      <c r="D1180" s="412">
        <f t="shared" si="79"/>
        <v>55215810.423717931</v>
      </c>
      <c r="E1180" s="857">
        <f t="shared" si="80"/>
        <v>1790783.0407692308</v>
      </c>
      <c r="F1180" s="412">
        <f t="shared" si="77"/>
        <v>53425027.382948697</v>
      </c>
      <c r="G1180" s="858">
        <f t="shared" si="81"/>
        <v>7869574.1879712334</v>
      </c>
      <c r="H1180" s="859">
        <f t="shared" si="82"/>
        <v>7869574.1879712334</v>
      </c>
      <c r="I1180" s="453">
        <f t="shared" si="78"/>
        <v>0</v>
      </c>
      <c r="J1180" s="453"/>
      <c r="K1180" s="566"/>
      <c r="L1180" s="459"/>
      <c r="M1180" s="566"/>
      <c r="N1180" s="459"/>
      <c r="O1180" s="459"/>
      <c r="P1180" s="4"/>
    </row>
    <row r="1181" spans="1:16">
      <c r="C1181" s="449">
        <f>IF(D1165="","-",+C1180+1)</f>
        <v>2028</v>
      </c>
      <c r="D1181" s="412">
        <f t="shared" si="79"/>
        <v>53425027.382948697</v>
      </c>
      <c r="E1181" s="857">
        <f t="shared" si="80"/>
        <v>1790783.0407692308</v>
      </c>
      <c r="F1181" s="412">
        <f t="shared" si="77"/>
        <v>51634244.342179462</v>
      </c>
      <c r="G1181" s="858">
        <f t="shared" si="81"/>
        <v>7669174.4798217164</v>
      </c>
      <c r="H1181" s="859">
        <f t="shared" si="82"/>
        <v>7669174.4798217164</v>
      </c>
      <c r="I1181" s="453">
        <f t="shared" si="78"/>
        <v>0</v>
      </c>
      <c r="J1181" s="453"/>
      <c r="K1181" s="566"/>
      <c r="L1181" s="459"/>
      <c r="M1181" s="566"/>
      <c r="N1181" s="459"/>
      <c r="O1181" s="459"/>
      <c r="P1181" s="4"/>
    </row>
    <row r="1182" spans="1:16">
      <c r="C1182" s="449">
        <f>IF(D1165="","-",+C1181+1)</f>
        <v>2029</v>
      </c>
      <c r="D1182" s="412">
        <f t="shared" si="79"/>
        <v>51634244.342179462</v>
      </c>
      <c r="E1182" s="857">
        <f t="shared" si="80"/>
        <v>1790783.0407692308</v>
      </c>
      <c r="F1182" s="412">
        <f t="shared" si="77"/>
        <v>49843461.301410228</v>
      </c>
      <c r="G1182" s="858">
        <f t="shared" si="81"/>
        <v>7468774.7716721995</v>
      </c>
      <c r="H1182" s="859">
        <f t="shared" si="82"/>
        <v>7468774.7716721995</v>
      </c>
      <c r="I1182" s="453">
        <f t="shared" si="78"/>
        <v>0</v>
      </c>
      <c r="J1182" s="453"/>
      <c r="K1182" s="566"/>
      <c r="L1182" s="459"/>
      <c r="M1182" s="566"/>
      <c r="N1182" s="459"/>
      <c r="O1182" s="459"/>
      <c r="P1182" s="4"/>
    </row>
    <row r="1183" spans="1:16">
      <c r="C1183" s="449">
        <f>IF(D1165="","-",+C1182+1)</f>
        <v>2030</v>
      </c>
      <c r="D1183" s="412">
        <f t="shared" si="79"/>
        <v>49843461.301410228</v>
      </c>
      <c r="E1183" s="857">
        <f t="shared" si="80"/>
        <v>1790783.0407692308</v>
      </c>
      <c r="F1183" s="412">
        <f t="shared" si="77"/>
        <v>48052678.260640994</v>
      </c>
      <c r="G1183" s="858">
        <f t="shared" si="81"/>
        <v>7268375.0635226816</v>
      </c>
      <c r="H1183" s="859">
        <f t="shared" si="82"/>
        <v>7268375.0635226816</v>
      </c>
      <c r="I1183" s="453">
        <f t="shared" si="78"/>
        <v>0</v>
      </c>
      <c r="J1183" s="453"/>
      <c r="K1183" s="566"/>
      <c r="L1183" s="459"/>
      <c r="M1183" s="566"/>
      <c r="N1183" s="460"/>
      <c r="O1183" s="459"/>
      <c r="P1183" s="4"/>
    </row>
    <row r="1184" spans="1:16">
      <c r="C1184" s="449">
        <f>IF(D1165="","-",+C1183+1)</f>
        <v>2031</v>
      </c>
      <c r="D1184" s="412">
        <f t="shared" si="79"/>
        <v>48052678.260640994</v>
      </c>
      <c r="E1184" s="857">
        <f t="shared" si="80"/>
        <v>1790783.0407692308</v>
      </c>
      <c r="F1184" s="412">
        <f t="shared" si="77"/>
        <v>46261895.219871759</v>
      </c>
      <c r="G1184" s="858">
        <f t="shared" si="81"/>
        <v>7067975.3553731646</v>
      </c>
      <c r="H1184" s="859">
        <f t="shared" si="82"/>
        <v>7067975.3553731646</v>
      </c>
      <c r="I1184" s="453">
        <f t="shared" si="78"/>
        <v>0</v>
      </c>
      <c r="J1184" s="453"/>
      <c r="K1184" s="566"/>
      <c r="L1184" s="459"/>
      <c r="M1184" s="566"/>
      <c r="N1184" s="459"/>
      <c r="O1184" s="459"/>
      <c r="P1184" s="4"/>
    </row>
    <row r="1185" spans="3:16">
      <c r="C1185" s="449">
        <f>IF(D1165="","-",+C1184+1)</f>
        <v>2032</v>
      </c>
      <c r="D1185" s="412">
        <f t="shared" si="79"/>
        <v>46261895.219871759</v>
      </c>
      <c r="E1185" s="857">
        <f t="shared" si="80"/>
        <v>1790783.0407692308</v>
      </c>
      <c r="F1185" s="412">
        <f t="shared" si="77"/>
        <v>44471112.179102525</v>
      </c>
      <c r="G1185" s="858">
        <f t="shared" si="81"/>
        <v>6867575.6472236477</v>
      </c>
      <c r="H1185" s="859">
        <f t="shared" si="82"/>
        <v>6867575.6472236477</v>
      </c>
      <c r="I1185" s="453">
        <f t="shared" si="78"/>
        <v>0</v>
      </c>
      <c r="J1185" s="453"/>
      <c r="K1185" s="566"/>
      <c r="L1185" s="459"/>
      <c r="M1185" s="566"/>
      <c r="N1185" s="459"/>
      <c r="O1185" s="459"/>
      <c r="P1185" s="4"/>
    </row>
    <row r="1186" spans="3:16">
      <c r="C1186" s="449">
        <f>IF(D1165="","-",+C1185+1)</f>
        <v>2033</v>
      </c>
      <c r="D1186" s="412">
        <f t="shared" si="79"/>
        <v>44471112.179102525</v>
      </c>
      <c r="E1186" s="857">
        <f t="shared" si="80"/>
        <v>1790783.0407692308</v>
      </c>
      <c r="F1186" s="412">
        <f t="shared" si="77"/>
        <v>42680329.138333291</v>
      </c>
      <c r="G1186" s="858">
        <f t="shared" si="81"/>
        <v>6667175.9390741307</v>
      </c>
      <c r="H1186" s="859">
        <f t="shared" si="82"/>
        <v>6667175.9390741307</v>
      </c>
      <c r="I1186" s="453">
        <f t="shared" si="78"/>
        <v>0</v>
      </c>
      <c r="J1186" s="453"/>
      <c r="K1186" s="566"/>
      <c r="L1186" s="459"/>
      <c r="M1186" s="566"/>
      <c r="N1186" s="459"/>
      <c r="O1186" s="459"/>
      <c r="P1186" s="4"/>
    </row>
    <row r="1187" spans="3:16">
      <c r="C1187" s="449">
        <f>IF(D1165="","-",+C1186+1)</f>
        <v>2034</v>
      </c>
      <c r="D1187" s="412">
        <f t="shared" si="79"/>
        <v>42680329.138333291</v>
      </c>
      <c r="E1187" s="857">
        <f t="shared" si="80"/>
        <v>1790783.0407692308</v>
      </c>
      <c r="F1187" s="412">
        <f t="shared" si="77"/>
        <v>40889546.097564057</v>
      </c>
      <c r="G1187" s="858">
        <f t="shared" si="81"/>
        <v>6466776.2309246138</v>
      </c>
      <c r="H1187" s="859">
        <f t="shared" si="82"/>
        <v>6466776.2309246138</v>
      </c>
      <c r="I1187" s="453">
        <f t="shared" si="78"/>
        <v>0</v>
      </c>
      <c r="J1187" s="453"/>
      <c r="K1187" s="566"/>
      <c r="L1187" s="459"/>
      <c r="M1187" s="566"/>
      <c r="N1187" s="459"/>
      <c r="O1187" s="459"/>
      <c r="P1187" s="4"/>
    </row>
    <row r="1188" spans="3:16">
      <c r="C1188" s="449">
        <f>IF(D1165="","-",+C1187+1)</f>
        <v>2035</v>
      </c>
      <c r="D1188" s="412">
        <f t="shared" si="79"/>
        <v>40889546.097564057</v>
      </c>
      <c r="E1188" s="857">
        <f t="shared" si="80"/>
        <v>1790783.0407692308</v>
      </c>
      <c r="F1188" s="412">
        <f t="shared" si="77"/>
        <v>39098763.056794822</v>
      </c>
      <c r="G1188" s="858">
        <f t="shared" si="81"/>
        <v>6266376.5227750968</v>
      </c>
      <c r="H1188" s="859">
        <f t="shared" si="82"/>
        <v>6266376.5227750968</v>
      </c>
      <c r="I1188" s="453">
        <f t="shared" si="78"/>
        <v>0</v>
      </c>
      <c r="J1188" s="453"/>
      <c r="K1188" s="566"/>
      <c r="L1188" s="459"/>
      <c r="M1188" s="566"/>
      <c r="N1188" s="459"/>
      <c r="O1188" s="459"/>
      <c r="P1188" s="4"/>
    </row>
    <row r="1189" spans="3:16">
      <c r="C1189" s="449">
        <f>IF(D1165="","-",+C1188+1)</f>
        <v>2036</v>
      </c>
      <c r="D1189" s="412">
        <f t="shared" si="79"/>
        <v>39098763.056794822</v>
      </c>
      <c r="E1189" s="857">
        <f t="shared" si="80"/>
        <v>1790783.0407692308</v>
      </c>
      <c r="F1189" s="412">
        <f t="shared" si="77"/>
        <v>37307980.016025588</v>
      </c>
      <c r="G1189" s="858">
        <f t="shared" si="81"/>
        <v>6065976.8146255799</v>
      </c>
      <c r="H1189" s="859">
        <f t="shared" si="82"/>
        <v>6065976.8146255799</v>
      </c>
      <c r="I1189" s="453">
        <f t="shared" si="78"/>
        <v>0</v>
      </c>
      <c r="J1189" s="453"/>
      <c r="K1189" s="566"/>
      <c r="L1189" s="459"/>
      <c r="M1189" s="566"/>
      <c r="N1189" s="459"/>
      <c r="O1189" s="459"/>
      <c r="P1189" s="4"/>
    </row>
    <row r="1190" spans="3:16">
      <c r="C1190" s="449">
        <f>IF(D1165="","-",+C1189+1)</f>
        <v>2037</v>
      </c>
      <c r="D1190" s="412">
        <f t="shared" si="79"/>
        <v>37307980.016025588</v>
      </c>
      <c r="E1190" s="857">
        <f t="shared" si="80"/>
        <v>1790783.0407692308</v>
      </c>
      <c r="F1190" s="412">
        <f t="shared" si="77"/>
        <v>35517196.975256354</v>
      </c>
      <c r="G1190" s="858">
        <f t="shared" si="81"/>
        <v>5865577.1064760629</v>
      </c>
      <c r="H1190" s="859">
        <f t="shared" si="82"/>
        <v>5865577.1064760629</v>
      </c>
      <c r="I1190" s="453">
        <f t="shared" si="78"/>
        <v>0</v>
      </c>
      <c r="J1190" s="453"/>
      <c r="K1190" s="566"/>
      <c r="L1190" s="459"/>
      <c r="M1190" s="566"/>
      <c r="N1190" s="459"/>
      <c r="O1190" s="459"/>
      <c r="P1190" s="4"/>
    </row>
    <row r="1191" spans="3:16">
      <c r="C1191" s="449">
        <f>IF(D1165="","-",+C1190+1)</f>
        <v>2038</v>
      </c>
      <c r="D1191" s="412">
        <f t="shared" si="79"/>
        <v>35517196.975256354</v>
      </c>
      <c r="E1191" s="857">
        <f t="shared" si="80"/>
        <v>1790783.0407692308</v>
      </c>
      <c r="F1191" s="412">
        <f t="shared" si="77"/>
        <v>33726413.934487119</v>
      </c>
      <c r="G1191" s="858">
        <f t="shared" si="81"/>
        <v>5665177.398326546</v>
      </c>
      <c r="H1191" s="859">
        <f t="shared" si="82"/>
        <v>5665177.398326546</v>
      </c>
      <c r="I1191" s="453">
        <f t="shared" si="78"/>
        <v>0</v>
      </c>
      <c r="J1191" s="453"/>
      <c r="K1191" s="566"/>
      <c r="L1191" s="459"/>
      <c r="M1191" s="566"/>
      <c r="N1191" s="459"/>
      <c r="O1191" s="459"/>
      <c r="P1191" s="4"/>
    </row>
    <row r="1192" spans="3:16">
      <c r="C1192" s="449">
        <f>IF(D1165="","-",+C1191+1)</f>
        <v>2039</v>
      </c>
      <c r="D1192" s="412">
        <f t="shared" si="79"/>
        <v>33726413.934487119</v>
      </c>
      <c r="E1192" s="857">
        <f t="shared" si="80"/>
        <v>1790783.0407692308</v>
      </c>
      <c r="F1192" s="412">
        <f t="shared" si="77"/>
        <v>31935630.893717889</v>
      </c>
      <c r="G1192" s="858">
        <f t="shared" si="81"/>
        <v>5464777.690177029</v>
      </c>
      <c r="H1192" s="859">
        <f t="shared" si="82"/>
        <v>5464777.690177029</v>
      </c>
      <c r="I1192" s="453">
        <f t="shared" si="78"/>
        <v>0</v>
      </c>
      <c r="J1192" s="453"/>
      <c r="K1192" s="566"/>
      <c r="L1192" s="459"/>
      <c r="M1192" s="566"/>
      <c r="N1192" s="459"/>
      <c r="O1192" s="459"/>
      <c r="P1192" s="4"/>
    </row>
    <row r="1193" spans="3:16">
      <c r="C1193" s="449">
        <f>IF(D1165="","-",+C1192+1)</f>
        <v>2040</v>
      </c>
      <c r="D1193" s="412">
        <f t="shared" si="79"/>
        <v>31935630.893717889</v>
      </c>
      <c r="E1193" s="857">
        <f t="shared" si="80"/>
        <v>1790783.0407692308</v>
      </c>
      <c r="F1193" s="412">
        <f t="shared" si="77"/>
        <v>30144847.852948658</v>
      </c>
      <c r="G1193" s="858">
        <f t="shared" si="81"/>
        <v>5264377.982027513</v>
      </c>
      <c r="H1193" s="859">
        <f t="shared" si="82"/>
        <v>5264377.982027513</v>
      </c>
      <c r="I1193" s="453">
        <f t="shared" si="78"/>
        <v>0</v>
      </c>
      <c r="J1193" s="453"/>
      <c r="K1193" s="566"/>
      <c r="L1193" s="459"/>
      <c r="M1193" s="566"/>
      <c r="N1193" s="459"/>
      <c r="O1193" s="459"/>
      <c r="P1193" s="4"/>
    </row>
    <row r="1194" spans="3:16">
      <c r="C1194" s="449">
        <f>IF(D1165="","-",+C1193+1)</f>
        <v>2041</v>
      </c>
      <c r="D1194" s="412">
        <f t="shared" si="79"/>
        <v>30144847.852948658</v>
      </c>
      <c r="E1194" s="857">
        <f t="shared" si="80"/>
        <v>1790783.0407692308</v>
      </c>
      <c r="F1194" s="412">
        <f t="shared" si="77"/>
        <v>28354064.812179428</v>
      </c>
      <c r="G1194" s="858">
        <f t="shared" si="81"/>
        <v>5063978.273877996</v>
      </c>
      <c r="H1194" s="859">
        <f t="shared" si="82"/>
        <v>5063978.273877996</v>
      </c>
      <c r="I1194" s="453">
        <f t="shared" si="78"/>
        <v>0</v>
      </c>
      <c r="J1194" s="453"/>
      <c r="K1194" s="566"/>
      <c r="L1194" s="459"/>
      <c r="M1194" s="566"/>
      <c r="N1194" s="459"/>
      <c r="O1194" s="459"/>
      <c r="P1194" s="4"/>
    </row>
    <row r="1195" spans="3:16">
      <c r="C1195" s="449">
        <f>IF(D1165="","-",+C1194+1)</f>
        <v>2042</v>
      </c>
      <c r="D1195" s="412">
        <f t="shared" si="79"/>
        <v>28354064.812179428</v>
      </c>
      <c r="E1195" s="857">
        <f t="shared" si="80"/>
        <v>1790783.0407692308</v>
      </c>
      <c r="F1195" s="412">
        <f t="shared" si="77"/>
        <v>26563281.771410197</v>
      </c>
      <c r="G1195" s="858">
        <f t="shared" si="81"/>
        <v>4863578.5657284791</v>
      </c>
      <c r="H1195" s="859">
        <f t="shared" si="82"/>
        <v>4863578.5657284791</v>
      </c>
      <c r="I1195" s="453">
        <f t="shared" si="78"/>
        <v>0</v>
      </c>
      <c r="J1195" s="453"/>
      <c r="K1195" s="566"/>
      <c r="L1195" s="459"/>
      <c r="M1195" s="566"/>
      <c r="N1195" s="459"/>
      <c r="O1195" s="459"/>
      <c r="P1195" s="4"/>
    </row>
    <row r="1196" spans="3:16">
      <c r="C1196" s="449">
        <f>IF(D1165="","-",+C1195+1)</f>
        <v>2043</v>
      </c>
      <c r="D1196" s="412">
        <f t="shared" si="79"/>
        <v>26563281.771410197</v>
      </c>
      <c r="E1196" s="857">
        <f t="shared" si="80"/>
        <v>1790783.0407692308</v>
      </c>
      <c r="F1196" s="412">
        <f t="shared" si="77"/>
        <v>24772498.730640966</v>
      </c>
      <c r="G1196" s="858">
        <f t="shared" si="81"/>
        <v>4663178.8575789621</v>
      </c>
      <c r="H1196" s="859">
        <f t="shared" si="82"/>
        <v>4663178.8575789621</v>
      </c>
      <c r="I1196" s="453">
        <f t="shared" si="78"/>
        <v>0</v>
      </c>
      <c r="J1196" s="453"/>
      <c r="K1196" s="566"/>
      <c r="L1196" s="459"/>
      <c r="M1196" s="566"/>
      <c r="N1196" s="459"/>
      <c r="O1196" s="459"/>
      <c r="P1196" s="4"/>
    </row>
    <row r="1197" spans="3:16">
      <c r="C1197" s="449">
        <f>IF(D1165="","-",+C1196+1)</f>
        <v>2044</v>
      </c>
      <c r="D1197" s="412">
        <f t="shared" si="79"/>
        <v>24772498.730640966</v>
      </c>
      <c r="E1197" s="857">
        <f t="shared" si="80"/>
        <v>1790783.0407692308</v>
      </c>
      <c r="F1197" s="412">
        <f t="shared" si="77"/>
        <v>22981715.689871736</v>
      </c>
      <c r="G1197" s="858">
        <f t="shared" si="81"/>
        <v>4462779.1494294461</v>
      </c>
      <c r="H1197" s="859">
        <f t="shared" si="82"/>
        <v>4462779.1494294461</v>
      </c>
      <c r="I1197" s="453">
        <f t="shared" si="78"/>
        <v>0</v>
      </c>
      <c r="J1197" s="453"/>
      <c r="K1197" s="566"/>
      <c r="L1197" s="459"/>
      <c r="M1197" s="566"/>
      <c r="N1197" s="459"/>
      <c r="O1197" s="459"/>
      <c r="P1197" s="4"/>
    </row>
    <row r="1198" spans="3:16">
      <c r="C1198" s="449">
        <f>IF(D1165="","-",+C1197+1)</f>
        <v>2045</v>
      </c>
      <c r="D1198" s="412">
        <f t="shared" si="79"/>
        <v>22981715.689871736</v>
      </c>
      <c r="E1198" s="857">
        <f t="shared" si="80"/>
        <v>1790783.0407692308</v>
      </c>
      <c r="F1198" s="412">
        <f t="shared" si="77"/>
        <v>21190932.649102505</v>
      </c>
      <c r="G1198" s="858">
        <f t="shared" si="81"/>
        <v>4262379.4412799291</v>
      </c>
      <c r="H1198" s="859">
        <f t="shared" si="82"/>
        <v>4262379.4412799291</v>
      </c>
      <c r="I1198" s="453">
        <f t="shared" si="78"/>
        <v>0</v>
      </c>
      <c r="J1198" s="453"/>
      <c r="K1198" s="566"/>
      <c r="L1198" s="459"/>
      <c r="M1198" s="566"/>
      <c r="N1198" s="459"/>
      <c r="O1198" s="459"/>
      <c r="P1198" s="4"/>
    </row>
    <row r="1199" spans="3:16">
      <c r="C1199" s="449">
        <f>IF(D1165="","-",+C1198+1)</f>
        <v>2046</v>
      </c>
      <c r="D1199" s="412">
        <f t="shared" si="79"/>
        <v>21190932.649102505</v>
      </c>
      <c r="E1199" s="857">
        <f t="shared" si="80"/>
        <v>1790783.0407692308</v>
      </c>
      <c r="F1199" s="412">
        <f t="shared" si="77"/>
        <v>19400149.608333275</v>
      </c>
      <c r="G1199" s="858">
        <f t="shared" si="81"/>
        <v>4061979.7331304131</v>
      </c>
      <c r="H1199" s="859">
        <f t="shared" si="82"/>
        <v>4061979.7331304131</v>
      </c>
      <c r="I1199" s="453">
        <f t="shared" si="78"/>
        <v>0</v>
      </c>
      <c r="J1199" s="453"/>
      <c r="K1199" s="566"/>
      <c r="L1199" s="459"/>
      <c r="M1199" s="566"/>
      <c r="N1199" s="459"/>
      <c r="O1199" s="459"/>
      <c r="P1199" s="4"/>
    </row>
    <row r="1200" spans="3:16">
      <c r="C1200" s="449">
        <f>IF(D1165="","-",+C1199+1)</f>
        <v>2047</v>
      </c>
      <c r="D1200" s="412">
        <f t="shared" si="79"/>
        <v>19400149.608333275</v>
      </c>
      <c r="E1200" s="857">
        <f t="shared" si="80"/>
        <v>1790783.0407692308</v>
      </c>
      <c r="F1200" s="412">
        <f t="shared" si="77"/>
        <v>17609366.567564044</v>
      </c>
      <c r="G1200" s="858">
        <f t="shared" si="81"/>
        <v>3861580.0249808962</v>
      </c>
      <c r="H1200" s="859">
        <f t="shared" si="82"/>
        <v>3861580.0249808962</v>
      </c>
      <c r="I1200" s="453">
        <f t="shared" si="78"/>
        <v>0</v>
      </c>
      <c r="J1200" s="453"/>
      <c r="K1200" s="566"/>
      <c r="L1200" s="459"/>
      <c r="M1200" s="566"/>
      <c r="N1200" s="459"/>
      <c r="O1200" s="459"/>
      <c r="P1200" s="4"/>
    </row>
    <row r="1201" spans="3:16">
      <c r="C1201" s="449">
        <f>IF(D1165="","-",+C1200+1)</f>
        <v>2048</v>
      </c>
      <c r="D1201" s="412">
        <f t="shared" si="79"/>
        <v>17609366.567564044</v>
      </c>
      <c r="E1201" s="857">
        <f t="shared" si="80"/>
        <v>1790783.0407692308</v>
      </c>
      <c r="F1201" s="412">
        <f t="shared" si="77"/>
        <v>15818583.526794814</v>
      </c>
      <c r="G1201" s="858">
        <f t="shared" si="81"/>
        <v>3661180.3168313797</v>
      </c>
      <c r="H1201" s="859">
        <f t="shared" si="82"/>
        <v>3661180.3168313797</v>
      </c>
      <c r="I1201" s="453">
        <f t="shared" si="78"/>
        <v>0</v>
      </c>
      <c r="J1201" s="453"/>
      <c r="K1201" s="566"/>
      <c r="L1201" s="459"/>
      <c r="M1201" s="566"/>
      <c r="N1201" s="459"/>
      <c r="O1201" s="459"/>
      <c r="P1201" s="4"/>
    </row>
    <row r="1202" spans="3:16">
      <c r="C1202" s="449">
        <f>IF(D1165="","-",+C1201+1)</f>
        <v>2049</v>
      </c>
      <c r="D1202" s="412">
        <f t="shared" si="79"/>
        <v>15818583.526794814</v>
      </c>
      <c r="E1202" s="857">
        <f t="shared" si="80"/>
        <v>1790783.0407692308</v>
      </c>
      <c r="F1202" s="412">
        <f t="shared" si="77"/>
        <v>14027800.486025583</v>
      </c>
      <c r="G1202" s="858">
        <f t="shared" si="81"/>
        <v>3460780.6086818632</v>
      </c>
      <c r="H1202" s="859">
        <f t="shared" si="82"/>
        <v>3460780.6086818632</v>
      </c>
      <c r="I1202" s="453">
        <f t="shared" si="78"/>
        <v>0</v>
      </c>
      <c r="J1202" s="453"/>
      <c r="K1202" s="566"/>
      <c r="L1202" s="459"/>
      <c r="M1202" s="566"/>
      <c r="N1202" s="459"/>
      <c r="O1202" s="459"/>
      <c r="P1202" s="4"/>
    </row>
    <row r="1203" spans="3:16">
      <c r="C1203" s="449">
        <f>IF(D1165="","-",+C1202+1)</f>
        <v>2050</v>
      </c>
      <c r="D1203" s="412">
        <f t="shared" si="79"/>
        <v>14027800.486025583</v>
      </c>
      <c r="E1203" s="857">
        <f t="shared" si="80"/>
        <v>1790783.0407692308</v>
      </c>
      <c r="F1203" s="412">
        <f t="shared" si="77"/>
        <v>12237017.445256352</v>
      </c>
      <c r="G1203" s="858">
        <f t="shared" si="81"/>
        <v>3260380.9005323462</v>
      </c>
      <c r="H1203" s="859">
        <f t="shared" si="82"/>
        <v>3260380.9005323462</v>
      </c>
      <c r="I1203" s="453">
        <f t="shared" si="78"/>
        <v>0</v>
      </c>
      <c r="J1203" s="453"/>
      <c r="K1203" s="566"/>
      <c r="L1203" s="459"/>
      <c r="M1203" s="566"/>
      <c r="N1203" s="459"/>
      <c r="O1203" s="459"/>
      <c r="P1203" s="4"/>
    </row>
    <row r="1204" spans="3:16">
      <c r="C1204" s="449">
        <f>IF(D1165="","-",+C1203+1)</f>
        <v>2051</v>
      </c>
      <c r="D1204" s="412">
        <f t="shared" si="79"/>
        <v>12237017.445256352</v>
      </c>
      <c r="E1204" s="857">
        <f t="shared" si="80"/>
        <v>1790783.0407692308</v>
      </c>
      <c r="F1204" s="412">
        <f t="shared" si="77"/>
        <v>10446234.404487122</v>
      </c>
      <c r="G1204" s="858">
        <f t="shared" si="81"/>
        <v>3059981.1923828297</v>
      </c>
      <c r="H1204" s="859">
        <f t="shared" si="82"/>
        <v>3059981.1923828297</v>
      </c>
      <c r="I1204" s="453">
        <f t="shared" si="78"/>
        <v>0</v>
      </c>
      <c r="J1204" s="453"/>
      <c r="K1204" s="566"/>
      <c r="L1204" s="459"/>
      <c r="M1204" s="566"/>
      <c r="N1204" s="459"/>
      <c r="O1204" s="459"/>
      <c r="P1204" s="4"/>
    </row>
    <row r="1205" spans="3:16">
      <c r="C1205" s="449">
        <f>IF(D1165="","-",+C1204+1)</f>
        <v>2052</v>
      </c>
      <c r="D1205" s="412">
        <f t="shared" si="79"/>
        <v>10446234.404487122</v>
      </c>
      <c r="E1205" s="857">
        <f t="shared" si="80"/>
        <v>1790783.0407692308</v>
      </c>
      <c r="F1205" s="412">
        <f t="shared" si="77"/>
        <v>8655451.3637178913</v>
      </c>
      <c r="G1205" s="858">
        <f t="shared" si="81"/>
        <v>2859581.4842333132</v>
      </c>
      <c r="H1205" s="859">
        <f t="shared" si="82"/>
        <v>2859581.4842333132</v>
      </c>
      <c r="I1205" s="453">
        <f t="shared" si="78"/>
        <v>0</v>
      </c>
      <c r="J1205" s="453"/>
      <c r="K1205" s="566"/>
      <c r="L1205" s="459"/>
      <c r="M1205" s="566"/>
      <c r="N1205" s="459"/>
      <c r="O1205" s="459"/>
      <c r="P1205" s="4"/>
    </row>
    <row r="1206" spans="3:16">
      <c r="C1206" s="449">
        <f>IF(D1165="","-",+C1205+1)</f>
        <v>2053</v>
      </c>
      <c r="D1206" s="412">
        <f t="shared" si="79"/>
        <v>8655451.3637178913</v>
      </c>
      <c r="E1206" s="857">
        <f t="shared" si="80"/>
        <v>1790783.0407692308</v>
      </c>
      <c r="F1206" s="412">
        <f t="shared" si="77"/>
        <v>6864668.3229486607</v>
      </c>
      <c r="G1206" s="858">
        <f t="shared" si="81"/>
        <v>2659181.7760837963</v>
      </c>
      <c r="H1206" s="859">
        <f t="shared" si="82"/>
        <v>2659181.7760837963</v>
      </c>
      <c r="I1206" s="453">
        <f t="shared" si="78"/>
        <v>0</v>
      </c>
      <c r="J1206" s="453"/>
      <c r="K1206" s="566"/>
      <c r="L1206" s="459"/>
      <c r="M1206" s="566"/>
      <c r="N1206" s="459"/>
      <c r="O1206" s="459"/>
      <c r="P1206" s="4"/>
    </row>
    <row r="1207" spans="3:16">
      <c r="C1207" s="449">
        <f>IF(D1165="","-",+C1206+1)</f>
        <v>2054</v>
      </c>
      <c r="D1207" s="412">
        <f t="shared" si="79"/>
        <v>6864668.3229486607</v>
      </c>
      <c r="E1207" s="857">
        <f t="shared" si="80"/>
        <v>1790783.0407692308</v>
      </c>
      <c r="F1207" s="412">
        <f t="shared" si="77"/>
        <v>5073885.2821794301</v>
      </c>
      <c r="G1207" s="858">
        <f t="shared" si="81"/>
        <v>2458782.0679342798</v>
      </c>
      <c r="H1207" s="859">
        <f t="shared" si="82"/>
        <v>2458782.0679342798</v>
      </c>
      <c r="I1207" s="453">
        <f t="shared" si="78"/>
        <v>0</v>
      </c>
      <c r="J1207" s="453"/>
      <c r="K1207" s="566"/>
      <c r="L1207" s="459"/>
      <c r="M1207" s="566"/>
      <c r="N1207" s="459"/>
      <c r="O1207" s="459"/>
      <c r="P1207" s="4"/>
    </row>
    <row r="1208" spans="3:16">
      <c r="C1208" s="449">
        <f>IF(D1165="","-",+C1207+1)</f>
        <v>2055</v>
      </c>
      <c r="D1208" s="412">
        <f t="shared" si="79"/>
        <v>5073885.2821794301</v>
      </c>
      <c r="E1208" s="857">
        <f t="shared" si="80"/>
        <v>1790783.0407692308</v>
      </c>
      <c r="F1208" s="412">
        <f t="shared" si="77"/>
        <v>3283102.2414101996</v>
      </c>
      <c r="G1208" s="858">
        <f t="shared" si="81"/>
        <v>2258382.3597847633</v>
      </c>
      <c r="H1208" s="859">
        <f t="shared" si="82"/>
        <v>2258382.3597847633</v>
      </c>
      <c r="I1208" s="453">
        <f t="shared" si="78"/>
        <v>0</v>
      </c>
      <c r="J1208" s="453"/>
      <c r="K1208" s="566"/>
      <c r="L1208" s="459"/>
      <c r="M1208" s="566"/>
      <c r="N1208" s="459"/>
      <c r="O1208" s="459"/>
      <c r="P1208" s="4"/>
    </row>
    <row r="1209" spans="3:16">
      <c r="C1209" s="449">
        <f>IF(D1165="","-",+C1208+1)</f>
        <v>2056</v>
      </c>
      <c r="D1209" s="412">
        <f t="shared" si="79"/>
        <v>3283102.2414101996</v>
      </c>
      <c r="E1209" s="857">
        <f t="shared" si="80"/>
        <v>1790783.0407692308</v>
      </c>
      <c r="F1209" s="412">
        <f t="shared" si="77"/>
        <v>1492319.2006409687</v>
      </c>
      <c r="G1209" s="858">
        <f t="shared" si="81"/>
        <v>2057982.6516352466</v>
      </c>
      <c r="H1209" s="859">
        <f t="shared" si="82"/>
        <v>2057982.6516352466</v>
      </c>
      <c r="I1209" s="453">
        <f t="shared" si="78"/>
        <v>0</v>
      </c>
      <c r="J1209" s="453"/>
      <c r="K1209" s="566"/>
      <c r="L1209" s="459"/>
      <c r="M1209" s="566"/>
      <c r="N1209" s="459"/>
      <c r="O1209" s="459"/>
      <c r="P1209" s="4"/>
    </row>
    <row r="1210" spans="3:16">
      <c r="C1210" s="449">
        <f>IF(D1165="","-",+C1209+1)</f>
        <v>2057</v>
      </c>
      <c r="D1210" s="412">
        <f t="shared" si="79"/>
        <v>1492319.2006409687</v>
      </c>
      <c r="E1210" s="857">
        <f t="shared" si="80"/>
        <v>1492319.2006409687</v>
      </c>
      <c r="F1210" s="412">
        <f t="shared" si="77"/>
        <v>0</v>
      </c>
      <c r="G1210" s="858">
        <f t="shared" si="81"/>
        <v>1575819.0790365974</v>
      </c>
      <c r="H1210" s="859">
        <f t="shared" si="82"/>
        <v>1575819.0790365974</v>
      </c>
      <c r="I1210" s="453">
        <f t="shared" si="78"/>
        <v>0</v>
      </c>
      <c r="J1210" s="453"/>
      <c r="K1210" s="566"/>
      <c r="L1210" s="459"/>
      <c r="M1210" s="566"/>
      <c r="N1210" s="459"/>
      <c r="O1210" s="459"/>
      <c r="P1210" s="4"/>
    </row>
    <row r="1211" spans="3:16">
      <c r="C1211" s="449">
        <f>IF(D1165="","-",+C1210+1)</f>
        <v>2058</v>
      </c>
      <c r="D1211" s="412">
        <f t="shared" si="79"/>
        <v>0</v>
      </c>
      <c r="E1211" s="857">
        <f t="shared" si="80"/>
        <v>0</v>
      </c>
      <c r="F1211" s="412">
        <f t="shared" si="77"/>
        <v>0</v>
      </c>
      <c r="G1211" s="858">
        <f t="shared" si="81"/>
        <v>0</v>
      </c>
      <c r="H1211" s="859">
        <f t="shared" si="82"/>
        <v>0</v>
      </c>
      <c r="I1211" s="453">
        <f t="shared" si="78"/>
        <v>0</v>
      </c>
      <c r="J1211" s="453"/>
      <c r="K1211" s="566"/>
      <c r="L1211" s="459"/>
      <c r="M1211" s="566"/>
      <c r="N1211" s="459"/>
      <c r="O1211" s="459"/>
      <c r="P1211" s="4"/>
    </row>
    <row r="1212" spans="3:16">
      <c r="C1212" s="449">
        <f>IF(D1165="","-",+C1211+1)</f>
        <v>2059</v>
      </c>
      <c r="D1212" s="412">
        <f t="shared" si="79"/>
        <v>0</v>
      </c>
      <c r="E1212" s="857">
        <f t="shared" si="80"/>
        <v>0</v>
      </c>
      <c r="F1212" s="412">
        <f t="shared" si="77"/>
        <v>0</v>
      </c>
      <c r="G1212" s="858">
        <f t="shared" si="81"/>
        <v>0</v>
      </c>
      <c r="H1212" s="859">
        <f t="shared" si="82"/>
        <v>0</v>
      </c>
      <c r="I1212" s="453">
        <f t="shared" si="78"/>
        <v>0</v>
      </c>
      <c r="J1212" s="453"/>
      <c r="K1212" s="566"/>
      <c r="L1212" s="459"/>
      <c r="M1212" s="566"/>
      <c r="N1212" s="459"/>
      <c r="O1212" s="459"/>
      <c r="P1212" s="4"/>
    </row>
    <row r="1213" spans="3:16">
      <c r="C1213" s="449">
        <f>IF(D1165="","-",+C1212+1)</f>
        <v>2060</v>
      </c>
      <c r="D1213" s="412">
        <f t="shared" si="79"/>
        <v>0</v>
      </c>
      <c r="E1213" s="857">
        <f t="shared" si="80"/>
        <v>0</v>
      </c>
      <c r="F1213" s="412">
        <f t="shared" si="77"/>
        <v>0</v>
      </c>
      <c r="G1213" s="858">
        <f t="shared" si="81"/>
        <v>0</v>
      </c>
      <c r="H1213" s="859">
        <f t="shared" si="82"/>
        <v>0</v>
      </c>
      <c r="I1213" s="453">
        <f t="shared" si="78"/>
        <v>0</v>
      </c>
      <c r="J1213" s="453"/>
      <c r="K1213" s="566"/>
      <c r="L1213" s="459"/>
      <c r="M1213" s="566"/>
      <c r="N1213" s="459"/>
      <c r="O1213" s="459"/>
      <c r="P1213" s="4"/>
    </row>
    <row r="1214" spans="3:16">
      <c r="C1214" s="449">
        <f>IF(D1165="","-",+C1213+1)</f>
        <v>2061</v>
      </c>
      <c r="D1214" s="412">
        <f t="shared" si="79"/>
        <v>0</v>
      </c>
      <c r="E1214" s="857">
        <f t="shared" si="80"/>
        <v>0</v>
      </c>
      <c r="F1214" s="412">
        <f t="shared" si="77"/>
        <v>0</v>
      </c>
      <c r="G1214" s="858">
        <f t="shared" si="81"/>
        <v>0</v>
      </c>
      <c r="H1214" s="859">
        <f t="shared" si="82"/>
        <v>0</v>
      </c>
      <c r="I1214" s="453">
        <f t="shared" si="78"/>
        <v>0</v>
      </c>
      <c r="J1214" s="453"/>
      <c r="K1214" s="566"/>
      <c r="L1214" s="459"/>
      <c r="M1214" s="566"/>
      <c r="N1214" s="459"/>
      <c r="O1214" s="459"/>
      <c r="P1214" s="4"/>
    </row>
    <row r="1215" spans="3:16">
      <c r="C1215" s="449">
        <f>IF(D1165="","-",+C1214+1)</f>
        <v>2062</v>
      </c>
      <c r="D1215" s="412">
        <f t="shared" si="79"/>
        <v>0</v>
      </c>
      <c r="E1215" s="857">
        <f t="shared" si="80"/>
        <v>0</v>
      </c>
      <c r="F1215" s="412">
        <f t="shared" si="77"/>
        <v>0</v>
      </c>
      <c r="G1215" s="858">
        <f t="shared" si="81"/>
        <v>0</v>
      </c>
      <c r="H1215" s="859">
        <f t="shared" si="82"/>
        <v>0</v>
      </c>
      <c r="I1215" s="453">
        <f t="shared" si="78"/>
        <v>0</v>
      </c>
      <c r="J1215" s="453"/>
      <c r="K1215" s="566"/>
      <c r="L1215" s="459"/>
      <c r="M1215" s="566"/>
      <c r="N1215" s="459"/>
      <c r="O1215" s="459"/>
      <c r="P1215" s="4"/>
    </row>
    <row r="1216" spans="3:16">
      <c r="C1216" s="449">
        <f>IF(D1165="","-",+C1215+1)</f>
        <v>2063</v>
      </c>
      <c r="D1216" s="412">
        <f t="shared" si="79"/>
        <v>0</v>
      </c>
      <c r="E1216" s="857">
        <f t="shared" si="80"/>
        <v>0</v>
      </c>
      <c r="F1216" s="412">
        <f t="shared" si="77"/>
        <v>0</v>
      </c>
      <c r="G1216" s="858">
        <f t="shared" si="81"/>
        <v>0</v>
      </c>
      <c r="H1216" s="859">
        <f t="shared" si="82"/>
        <v>0</v>
      </c>
      <c r="I1216" s="453">
        <f t="shared" si="78"/>
        <v>0</v>
      </c>
      <c r="J1216" s="453"/>
      <c r="K1216" s="566"/>
      <c r="L1216" s="459"/>
      <c r="M1216" s="566"/>
      <c r="N1216" s="459"/>
      <c r="O1216" s="459"/>
      <c r="P1216" s="4"/>
    </row>
    <row r="1217" spans="3:16">
      <c r="C1217" s="449">
        <f>IF(D1165="","-",+C1216+1)</f>
        <v>2064</v>
      </c>
      <c r="D1217" s="412">
        <f t="shared" si="79"/>
        <v>0</v>
      </c>
      <c r="E1217" s="857">
        <f t="shared" si="80"/>
        <v>0</v>
      </c>
      <c r="F1217" s="412">
        <f t="shared" si="77"/>
        <v>0</v>
      </c>
      <c r="G1217" s="858">
        <f t="shared" si="81"/>
        <v>0</v>
      </c>
      <c r="H1217" s="859">
        <f t="shared" si="82"/>
        <v>0</v>
      </c>
      <c r="I1217" s="453">
        <f t="shared" si="78"/>
        <v>0</v>
      </c>
      <c r="J1217" s="453"/>
      <c r="K1217" s="566"/>
      <c r="L1217" s="459"/>
      <c r="M1217" s="566"/>
      <c r="N1217" s="459"/>
      <c r="O1217" s="459"/>
      <c r="P1217" s="4"/>
    </row>
    <row r="1218" spans="3:16">
      <c r="C1218" s="449">
        <f>IF(D1165="","-",+C1217+1)</f>
        <v>2065</v>
      </c>
      <c r="D1218" s="412">
        <f t="shared" si="79"/>
        <v>0</v>
      </c>
      <c r="E1218" s="857">
        <f t="shared" si="80"/>
        <v>0</v>
      </c>
      <c r="F1218" s="412">
        <f t="shared" si="77"/>
        <v>0</v>
      </c>
      <c r="G1218" s="858">
        <f t="shared" si="81"/>
        <v>0</v>
      </c>
      <c r="H1218" s="859">
        <f t="shared" si="82"/>
        <v>0</v>
      </c>
      <c r="I1218" s="453">
        <f t="shared" si="78"/>
        <v>0</v>
      </c>
      <c r="J1218" s="453"/>
      <c r="K1218" s="566"/>
      <c r="L1218" s="459"/>
      <c r="M1218" s="566"/>
      <c r="N1218" s="459"/>
      <c r="O1218" s="459"/>
      <c r="P1218" s="4"/>
    </row>
    <row r="1219" spans="3:16">
      <c r="C1219" s="449">
        <f>IF(D1165="","-",+C1218+1)</f>
        <v>2066</v>
      </c>
      <c r="D1219" s="412">
        <f t="shared" si="79"/>
        <v>0</v>
      </c>
      <c r="E1219" s="857">
        <f t="shared" si="80"/>
        <v>0</v>
      </c>
      <c r="F1219" s="412">
        <f t="shared" si="77"/>
        <v>0</v>
      </c>
      <c r="G1219" s="858">
        <f t="shared" si="81"/>
        <v>0</v>
      </c>
      <c r="H1219" s="859">
        <f t="shared" si="82"/>
        <v>0</v>
      </c>
      <c r="I1219" s="453">
        <f t="shared" si="78"/>
        <v>0</v>
      </c>
      <c r="J1219" s="453"/>
      <c r="K1219" s="566"/>
      <c r="L1219" s="459"/>
      <c r="M1219" s="566"/>
      <c r="N1219" s="459"/>
      <c r="O1219" s="459"/>
      <c r="P1219" s="4"/>
    </row>
    <row r="1220" spans="3:16">
      <c r="C1220" s="449">
        <f>IF(D1165="","-",+C1219+1)</f>
        <v>2067</v>
      </c>
      <c r="D1220" s="412">
        <f t="shared" si="79"/>
        <v>0</v>
      </c>
      <c r="E1220" s="857">
        <f t="shared" si="80"/>
        <v>0</v>
      </c>
      <c r="F1220" s="412">
        <f t="shared" si="77"/>
        <v>0</v>
      </c>
      <c r="G1220" s="858">
        <f t="shared" si="81"/>
        <v>0</v>
      </c>
      <c r="H1220" s="859">
        <f t="shared" si="82"/>
        <v>0</v>
      </c>
      <c r="I1220" s="453">
        <f t="shared" si="78"/>
        <v>0</v>
      </c>
      <c r="J1220" s="453"/>
      <c r="K1220" s="566"/>
      <c r="L1220" s="459"/>
      <c r="M1220" s="566"/>
      <c r="N1220" s="459"/>
      <c r="O1220" s="459"/>
      <c r="P1220" s="4"/>
    </row>
    <row r="1221" spans="3:16">
      <c r="C1221" s="449">
        <f>IF(D1165="","-",+C1220+1)</f>
        <v>2068</v>
      </c>
      <c r="D1221" s="412">
        <f t="shared" si="79"/>
        <v>0</v>
      </c>
      <c r="E1221" s="857">
        <f t="shared" si="80"/>
        <v>0</v>
      </c>
      <c r="F1221" s="412">
        <f t="shared" si="77"/>
        <v>0</v>
      </c>
      <c r="G1221" s="858">
        <f t="shared" si="81"/>
        <v>0</v>
      </c>
      <c r="H1221" s="859">
        <f t="shared" si="82"/>
        <v>0</v>
      </c>
      <c r="I1221" s="453">
        <f t="shared" si="78"/>
        <v>0</v>
      </c>
      <c r="J1221" s="453"/>
      <c r="K1221" s="566"/>
      <c r="L1221" s="459"/>
      <c r="M1221" s="566"/>
      <c r="N1221" s="459"/>
      <c r="O1221" s="459"/>
      <c r="P1221" s="4"/>
    </row>
    <row r="1222" spans="3:16">
      <c r="C1222" s="449">
        <f>IF(D1165="","-",+C1221+1)</f>
        <v>2069</v>
      </c>
      <c r="D1222" s="412">
        <f t="shared" si="79"/>
        <v>0</v>
      </c>
      <c r="E1222" s="857">
        <f t="shared" si="80"/>
        <v>0</v>
      </c>
      <c r="F1222" s="412">
        <f t="shared" si="77"/>
        <v>0</v>
      </c>
      <c r="G1222" s="858">
        <f t="shared" si="81"/>
        <v>0</v>
      </c>
      <c r="H1222" s="859">
        <f t="shared" si="82"/>
        <v>0</v>
      </c>
      <c r="I1222" s="453">
        <f t="shared" si="78"/>
        <v>0</v>
      </c>
      <c r="J1222" s="453"/>
      <c r="K1222" s="566"/>
      <c r="L1222" s="459"/>
      <c r="M1222" s="566"/>
      <c r="N1222" s="459"/>
      <c r="O1222" s="459"/>
      <c r="P1222" s="4"/>
    </row>
    <row r="1223" spans="3:16">
      <c r="C1223" s="449">
        <f>IF(D1165="","-",+C1222+1)</f>
        <v>2070</v>
      </c>
      <c r="D1223" s="412">
        <f t="shared" si="79"/>
        <v>0</v>
      </c>
      <c r="E1223" s="857">
        <f t="shared" si="80"/>
        <v>0</v>
      </c>
      <c r="F1223" s="412">
        <f t="shared" si="77"/>
        <v>0</v>
      </c>
      <c r="G1223" s="858">
        <f t="shared" si="81"/>
        <v>0</v>
      </c>
      <c r="H1223" s="859">
        <f t="shared" si="82"/>
        <v>0</v>
      </c>
      <c r="I1223" s="453">
        <f t="shared" si="78"/>
        <v>0</v>
      </c>
      <c r="J1223" s="453"/>
      <c r="K1223" s="566"/>
      <c r="L1223" s="459"/>
      <c r="M1223" s="566"/>
      <c r="N1223" s="459"/>
      <c r="O1223" s="459"/>
      <c r="P1223" s="4"/>
    </row>
    <row r="1224" spans="3:16">
      <c r="C1224" s="449">
        <f>IF(D1165="","-",+C1223+1)</f>
        <v>2071</v>
      </c>
      <c r="D1224" s="412">
        <f t="shared" si="79"/>
        <v>0</v>
      </c>
      <c r="E1224" s="857">
        <f t="shared" si="80"/>
        <v>0</v>
      </c>
      <c r="F1224" s="412">
        <f t="shared" si="77"/>
        <v>0</v>
      </c>
      <c r="G1224" s="858">
        <f t="shared" si="81"/>
        <v>0</v>
      </c>
      <c r="H1224" s="859">
        <f t="shared" si="82"/>
        <v>0</v>
      </c>
      <c r="I1224" s="453">
        <f t="shared" si="78"/>
        <v>0</v>
      </c>
      <c r="J1224" s="453"/>
      <c r="K1224" s="566"/>
      <c r="L1224" s="459"/>
      <c r="M1224" s="566"/>
      <c r="N1224" s="459"/>
      <c r="O1224" s="459"/>
      <c r="P1224" s="4"/>
    </row>
    <row r="1225" spans="3:16">
      <c r="C1225" s="449">
        <f>IF(D1165="","-",+C1224+1)</f>
        <v>2072</v>
      </c>
      <c r="D1225" s="412">
        <f t="shared" si="79"/>
        <v>0</v>
      </c>
      <c r="E1225" s="857">
        <f t="shared" si="80"/>
        <v>0</v>
      </c>
      <c r="F1225" s="412">
        <f t="shared" si="77"/>
        <v>0</v>
      </c>
      <c r="G1225" s="858">
        <f t="shared" si="81"/>
        <v>0</v>
      </c>
      <c r="H1225" s="859">
        <f t="shared" si="82"/>
        <v>0</v>
      </c>
      <c r="I1225" s="453">
        <f t="shared" si="78"/>
        <v>0</v>
      </c>
      <c r="J1225" s="453"/>
      <c r="K1225" s="566"/>
      <c r="L1225" s="459"/>
      <c r="M1225" s="566"/>
      <c r="N1225" s="459"/>
      <c r="O1225" s="459"/>
      <c r="P1225" s="4"/>
    </row>
    <row r="1226" spans="3:16">
      <c r="C1226" s="449">
        <f>IF(D1165="","-",+C1225+1)</f>
        <v>2073</v>
      </c>
      <c r="D1226" s="412">
        <f t="shared" si="79"/>
        <v>0</v>
      </c>
      <c r="E1226" s="857">
        <f t="shared" si="80"/>
        <v>0</v>
      </c>
      <c r="F1226" s="412">
        <f t="shared" si="77"/>
        <v>0</v>
      </c>
      <c r="G1226" s="858">
        <f t="shared" si="81"/>
        <v>0</v>
      </c>
      <c r="H1226" s="859">
        <f t="shared" si="82"/>
        <v>0</v>
      </c>
      <c r="I1226" s="453">
        <f t="shared" si="78"/>
        <v>0</v>
      </c>
      <c r="J1226" s="453"/>
      <c r="K1226" s="566"/>
      <c r="L1226" s="459"/>
      <c r="M1226" s="566"/>
      <c r="N1226" s="459"/>
      <c r="O1226" s="459"/>
      <c r="P1226" s="4"/>
    </row>
    <row r="1227" spans="3:16">
      <c r="C1227" s="449">
        <f>IF(D1165="","-",+C1226+1)</f>
        <v>2074</v>
      </c>
      <c r="D1227" s="412">
        <f t="shared" si="79"/>
        <v>0</v>
      </c>
      <c r="E1227" s="857">
        <f t="shared" si="80"/>
        <v>0</v>
      </c>
      <c r="F1227" s="412">
        <f t="shared" si="77"/>
        <v>0</v>
      </c>
      <c r="G1227" s="858">
        <f t="shared" si="81"/>
        <v>0</v>
      </c>
      <c r="H1227" s="859">
        <f t="shared" si="82"/>
        <v>0</v>
      </c>
      <c r="I1227" s="453">
        <f t="shared" si="78"/>
        <v>0</v>
      </c>
      <c r="J1227" s="453"/>
      <c r="K1227" s="566"/>
      <c r="L1227" s="459"/>
      <c r="M1227" s="566"/>
      <c r="N1227" s="459"/>
      <c r="O1227" s="459"/>
      <c r="P1227" s="4"/>
    </row>
    <row r="1228" spans="3:16">
      <c r="C1228" s="449">
        <f>IF(D1165="","-",+C1227+1)</f>
        <v>2075</v>
      </c>
      <c r="D1228" s="412">
        <f t="shared" si="79"/>
        <v>0</v>
      </c>
      <c r="E1228" s="857">
        <f t="shared" si="80"/>
        <v>0</v>
      </c>
      <c r="F1228" s="412">
        <f t="shared" si="77"/>
        <v>0</v>
      </c>
      <c r="G1228" s="858">
        <f t="shared" si="81"/>
        <v>0</v>
      </c>
      <c r="H1228" s="859">
        <f t="shared" si="82"/>
        <v>0</v>
      </c>
      <c r="I1228" s="453">
        <f t="shared" si="78"/>
        <v>0</v>
      </c>
      <c r="J1228" s="453"/>
      <c r="K1228" s="566"/>
      <c r="L1228" s="459"/>
      <c r="M1228" s="566"/>
      <c r="N1228" s="459"/>
      <c r="O1228" s="459"/>
      <c r="P1228" s="4"/>
    </row>
    <row r="1229" spans="3:16">
      <c r="C1229" s="449">
        <f>IF(D1165="","-",+C1228+1)</f>
        <v>2076</v>
      </c>
      <c r="D1229" s="412">
        <f t="shared" si="79"/>
        <v>0</v>
      </c>
      <c r="E1229" s="857">
        <f t="shared" si="80"/>
        <v>0</v>
      </c>
      <c r="F1229" s="412">
        <f t="shared" si="77"/>
        <v>0</v>
      </c>
      <c r="G1229" s="858">
        <f t="shared" si="81"/>
        <v>0</v>
      </c>
      <c r="H1229" s="859">
        <f t="shared" si="82"/>
        <v>0</v>
      </c>
      <c r="I1229" s="453">
        <f t="shared" si="78"/>
        <v>0</v>
      </c>
      <c r="J1229" s="453"/>
      <c r="K1229" s="566"/>
      <c r="L1229" s="459"/>
      <c r="M1229" s="566"/>
      <c r="N1229" s="459"/>
      <c r="O1229" s="459"/>
      <c r="P1229" s="4"/>
    </row>
    <row r="1230" spans="3:16" ht="13.5" thickBot="1">
      <c r="C1230" s="461">
        <f>IF(D1165="","-",+C1229+1)</f>
        <v>2077</v>
      </c>
      <c r="D1230" s="462">
        <f t="shared" si="79"/>
        <v>0</v>
      </c>
      <c r="E1230" s="880">
        <f t="shared" si="80"/>
        <v>0</v>
      </c>
      <c r="F1230" s="462">
        <f t="shared" si="77"/>
        <v>0</v>
      </c>
      <c r="G1230" s="884">
        <f t="shared" si="81"/>
        <v>0</v>
      </c>
      <c r="H1230" s="885">
        <f t="shared" si="82"/>
        <v>0</v>
      </c>
      <c r="I1230" s="465">
        <f t="shared" si="78"/>
        <v>0</v>
      </c>
      <c r="J1230" s="453"/>
      <c r="K1230" s="567"/>
      <c r="L1230" s="467"/>
      <c r="M1230" s="567"/>
      <c r="N1230" s="467"/>
      <c r="O1230" s="467"/>
      <c r="P1230" s="4"/>
    </row>
    <row r="1231" spans="3:16">
      <c r="C1231" s="412" t="s">
        <v>288</v>
      </c>
      <c r="D1231" s="832"/>
      <c r="E1231" s="832">
        <f>SUM(E1171:E1230)</f>
        <v>69840538.590000004</v>
      </c>
      <c r="F1231" s="832"/>
      <c r="G1231" s="832">
        <f>SUM(G1171:G1230)</f>
        <v>228757507.15256646</v>
      </c>
      <c r="H1231" s="832">
        <f>SUM(H1171:H1230)</f>
        <v>228757507.15256646</v>
      </c>
      <c r="I1231" s="832">
        <f>SUM(I1171:I1230)</f>
        <v>0</v>
      </c>
      <c r="J1231" s="832"/>
      <c r="K1231" s="832"/>
      <c r="L1231" s="832"/>
      <c r="M1231" s="832"/>
      <c r="N1231" s="832"/>
      <c r="O1231" s="4"/>
      <c r="P1231" s="4"/>
    </row>
    <row r="1232" spans="3:16">
      <c r="D1232" s="67"/>
      <c r="E1232" s="4"/>
      <c r="F1232" s="4"/>
      <c r="G1232" s="4"/>
      <c r="H1232" s="831"/>
      <c r="I1232" s="831"/>
      <c r="J1232" s="832"/>
      <c r="K1232" s="831"/>
      <c r="L1232" s="831"/>
      <c r="M1232" s="831"/>
      <c r="N1232" s="831"/>
      <c r="O1232" s="4"/>
      <c r="P1232" s="4"/>
    </row>
    <row r="1233" spans="1:16">
      <c r="C1233" s="4" t="s">
        <v>601</v>
      </c>
      <c r="D1233" s="67"/>
      <c r="E1233" s="4"/>
      <c r="F1233" s="4"/>
      <c r="G1233" s="4"/>
      <c r="H1233" s="831"/>
      <c r="I1233" s="831"/>
      <c r="J1233" s="832"/>
      <c r="K1233" s="831"/>
      <c r="L1233" s="831"/>
      <c r="M1233" s="831"/>
      <c r="N1233" s="831"/>
      <c r="O1233" s="4"/>
      <c r="P1233" s="4"/>
    </row>
    <row r="1234" spans="1:16">
      <c r="D1234" s="67"/>
      <c r="E1234" s="4"/>
      <c r="F1234" s="4"/>
      <c r="G1234" s="4"/>
      <c r="H1234" s="831"/>
      <c r="I1234" s="831"/>
      <c r="J1234" s="832"/>
      <c r="K1234" s="831"/>
      <c r="L1234" s="831"/>
      <c r="M1234" s="831"/>
      <c r="N1234" s="831"/>
      <c r="O1234" s="4"/>
      <c r="P1234" s="4"/>
    </row>
    <row r="1235" spans="1:16">
      <c r="C1235" s="4" t="s">
        <v>602</v>
      </c>
      <c r="D1235" s="412"/>
      <c r="E1235" s="412"/>
      <c r="F1235" s="412"/>
      <c r="G1235" s="832"/>
      <c r="H1235" s="832"/>
      <c r="I1235" s="414"/>
      <c r="J1235" s="414"/>
      <c r="K1235" s="414"/>
      <c r="L1235" s="414"/>
      <c r="M1235" s="414"/>
      <c r="N1235" s="414"/>
      <c r="O1235" s="4"/>
      <c r="P1235" s="4"/>
    </row>
    <row r="1236" spans="1:16">
      <c r="C1236" s="4" t="s">
        <v>476</v>
      </c>
      <c r="D1236" s="412"/>
      <c r="E1236" s="412"/>
      <c r="F1236" s="412"/>
      <c r="G1236" s="832"/>
      <c r="H1236" s="832"/>
      <c r="I1236" s="414"/>
      <c r="J1236" s="414"/>
      <c r="K1236" s="414"/>
      <c r="L1236" s="414"/>
      <c r="M1236" s="414"/>
      <c r="N1236" s="414"/>
      <c r="O1236" s="4"/>
      <c r="P1236" s="4"/>
    </row>
    <row r="1237" spans="1:16">
      <c r="C1237" s="4" t="s">
        <v>289</v>
      </c>
      <c r="D1237" s="412"/>
      <c r="E1237" s="412"/>
      <c r="F1237" s="412"/>
      <c r="G1237" s="832"/>
      <c r="H1237" s="832"/>
      <c r="I1237" s="414"/>
      <c r="J1237" s="414"/>
      <c r="K1237" s="414"/>
      <c r="L1237" s="414"/>
      <c r="M1237" s="414"/>
      <c r="N1237" s="414"/>
      <c r="O1237" s="4"/>
      <c r="P1237" s="4"/>
    </row>
    <row r="1238" spans="1:16">
      <c r="C1238" s="413"/>
      <c r="D1238" s="412"/>
      <c r="E1238" s="412"/>
      <c r="F1238" s="412"/>
      <c r="G1238" s="832"/>
      <c r="H1238" s="832"/>
      <c r="I1238" s="414"/>
      <c r="J1238" s="414"/>
      <c r="K1238" s="414"/>
      <c r="L1238" s="414"/>
      <c r="M1238" s="414"/>
      <c r="N1238" s="414"/>
      <c r="O1238" s="4"/>
      <c r="P1238" s="4"/>
    </row>
    <row r="1239" spans="1:16">
      <c r="C1239" s="1279" t="s">
        <v>460</v>
      </c>
      <c r="D1239" s="1279"/>
      <c r="E1239" s="1279"/>
      <c r="F1239" s="1279"/>
      <c r="G1239" s="1279"/>
      <c r="H1239" s="1279"/>
      <c r="I1239" s="1279"/>
      <c r="J1239" s="1279"/>
      <c r="K1239" s="1279"/>
      <c r="L1239" s="1279"/>
      <c r="M1239" s="1279"/>
      <c r="N1239" s="1279"/>
      <c r="O1239" s="1279"/>
      <c r="P1239" s="4"/>
    </row>
    <row r="1240" spans="1:16">
      <c r="C1240" s="1279"/>
      <c r="D1240" s="1279"/>
      <c r="E1240" s="1279"/>
      <c r="F1240" s="1279"/>
      <c r="G1240" s="1279"/>
      <c r="H1240" s="1279"/>
      <c r="I1240" s="1279"/>
      <c r="J1240" s="1279"/>
      <c r="K1240" s="1279"/>
      <c r="L1240" s="1279"/>
      <c r="M1240" s="1279"/>
      <c r="N1240" s="1279"/>
      <c r="O1240" s="1279"/>
      <c r="P1240" s="4"/>
    </row>
    <row r="1241" spans="1:16" ht="20.25">
      <c r="A1241" s="352" t="s">
        <v>929</v>
      </c>
      <c r="B1241" s="4"/>
      <c r="C1241" s="4"/>
      <c r="D1241" s="67"/>
      <c r="E1241" s="4"/>
      <c r="F1241" s="394"/>
      <c r="G1241" s="4"/>
      <c r="H1241" s="831"/>
      <c r="K1241" s="353"/>
      <c r="L1241" s="353"/>
      <c r="M1241" s="353"/>
      <c r="N1241" s="353" t="str">
        <f>"Page "&amp;SUM(P$6:P1241)&amp;" of "</f>
        <v xml:space="preserve">Page 15 of </v>
      </c>
      <c r="O1241" s="354">
        <f>COUNT(P$6:P$59606)</f>
        <v>18</v>
      </c>
      <c r="P1241" s="4">
        <v>1</v>
      </c>
    </row>
    <row r="1242" spans="1:16">
      <c r="B1242" s="4"/>
      <c r="C1242" s="4"/>
      <c r="D1242" s="67"/>
      <c r="E1242" s="4"/>
      <c r="F1242" s="4"/>
      <c r="G1242" s="4"/>
      <c r="H1242" s="831"/>
      <c r="I1242" s="4"/>
      <c r="J1242" s="4"/>
      <c r="K1242" s="4"/>
      <c r="L1242" s="4"/>
      <c r="M1242" s="4"/>
      <c r="N1242" s="4"/>
      <c r="O1242" s="4"/>
      <c r="P1242" s="4"/>
    </row>
    <row r="1243" spans="1:16" ht="18">
      <c r="B1243" s="355" t="s">
        <v>174</v>
      </c>
      <c r="C1243" s="415" t="s">
        <v>290</v>
      </c>
      <c r="D1243" s="67"/>
      <c r="E1243" s="4"/>
      <c r="F1243" s="4"/>
      <c r="G1243" s="4"/>
      <c r="H1243" s="831"/>
      <c r="I1243" s="831"/>
      <c r="J1243" s="832"/>
      <c r="K1243" s="831"/>
      <c r="L1243" s="831"/>
      <c r="M1243" s="831"/>
      <c r="N1243" s="831"/>
      <c r="O1243" s="4"/>
      <c r="P1243" s="4"/>
    </row>
    <row r="1244" spans="1:16" ht="18.75">
      <c r="B1244" s="355"/>
      <c r="C1244" s="11"/>
      <c r="D1244" s="67"/>
      <c r="E1244" s="4"/>
      <c r="F1244" s="4"/>
      <c r="G1244" s="4"/>
      <c r="H1244" s="831"/>
      <c r="I1244" s="831"/>
      <c r="J1244" s="832"/>
      <c r="K1244" s="831"/>
      <c r="L1244" s="831"/>
      <c r="M1244" s="831"/>
      <c r="N1244" s="831"/>
      <c r="O1244" s="4"/>
      <c r="P1244" s="4"/>
    </row>
    <row r="1245" spans="1:16" ht="18.75">
      <c r="B1245" s="355"/>
      <c r="C1245" s="11" t="s">
        <v>291</v>
      </c>
      <c r="D1245" s="67"/>
      <c r="E1245" s="4"/>
      <c r="F1245" s="4"/>
      <c r="G1245" s="4"/>
      <c r="H1245" s="831"/>
      <c r="I1245" s="831"/>
      <c r="J1245" s="832"/>
      <c r="K1245" s="831"/>
      <c r="L1245" s="831"/>
      <c r="M1245" s="831"/>
      <c r="N1245" s="831"/>
      <c r="O1245" s="4"/>
      <c r="P1245" s="4"/>
    </row>
    <row r="1246" spans="1:16" ht="15.75" thickBot="1">
      <c r="C1246" s="203"/>
      <c r="D1246" s="67"/>
      <c r="E1246" s="4"/>
      <c r="F1246" s="4"/>
      <c r="G1246" s="4"/>
      <c r="H1246" s="831"/>
      <c r="I1246" s="831"/>
      <c r="J1246" s="832"/>
      <c r="K1246" s="831"/>
      <c r="L1246" s="831"/>
      <c r="M1246" s="831"/>
      <c r="N1246" s="831"/>
      <c r="O1246" s="4"/>
      <c r="P1246" s="4"/>
    </row>
    <row r="1247" spans="1:16" ht="15.75">
      <c r="C1247" s="356" t="s">
        <v>292</v>
      </c>
      <c r="D1247" s="67"/>
      <c r="E1247" s="4"/>
      <c r="F1247" s="4"/>
      <c r="G1247" s="833"/>
      <c r="H1247" s="4" t="s">
        <v>271</v>
      </c>
      <c r="I1247" s="4"/>
      <c r="J1247" s="4"/>
      <c r="K1247" s="416" t="s">
        <v>296</v>
      </c>
      <c r="L1247" s="417"/>
      <c r="M1247" s="418"/>
      <c r="N1247" s="834">
        <f>VLOOKUP(I1253,C1260:O1319,5)</f>
        <v>77843.991405860084</v>
      </c>
      <c r="O1247" s="4"/>
      <c r="P1247" s="4"/>
    </row>
    <row r="1248" spans="1:16" ht="15.75">
      <c r="C1248" s="356"/>
      <c r="D1248" s="67"/>
      <c r="E1248" s="4"/>
      <c r="F1248" s="4"/>
      <c r="G1248" s="4"/>
      <c r="H1248" s="835"/>
      <c r="I1248" s="835"/>
      <c r="J1248" s="836"/>
      <c r="K1248" s="421" t="s">
        <v>297</v>
      </c>
      <c r="L1248" s="837"/>
      <c r="M1248" s="4"/>
      <c r="N1248" s="838">
        <f>VLOOKUP(I1253,C1260:O1319,6)</f>
        <v>77843.991405860084</v>
      </c>
      <c r="O1248" s="4"/>
      <c r="P1248" s="4"/>
    </row>
    <row r="1249" spans="1:16" ht="13.5" thickBot="1">
      <c r="C1249" s="422" t="s">
        <v>293</v>
      </c>
      <c r="D1249" s="1277" t="s">
        <v>944</v>
      </c>
      <c r="E1249" s="1277"/>
      <c r="F1249" s="1277"/>
      <c r="G1249" s="1277"/>
      <c r="H1249" s="1277"/>
      <c r="I1249" s="831"/>
      <c r="J1249" s="832"/>
      <c r="K1249" s="839" t="s">
        <v>450</v>
      </c>
      <c r="L1249" s="840"/>
      <c r="M1249" s="840"/>
      <c r="N1249" s="841">
        <f>+N1248-N1247</f>
        <v>0</v>
      </c>
      <c r="O1249" s="4"/>
      <c r="P1249" s="4"/>
    </row>
    <row r="1250" spans="1:16">
      <c r="C1250" s="424"/>
      <c r="D1250" s="425"/>
      <c r="E1250" s="412"/>
      <c r="F1250" s="412"/>
      <c r="G1250" s="426"/>
      <c r="H1250" s="831"/>
      <c r="I1250" s="831"/>
      <c r="J1250" s="832"/>
      <c r="K1250" s="831"/>
      <c r="L1250" s="831"/>
      <c r="M1250" s="831"/>
      <c r="N1250" s="831"/>
      <c r="O1250" s="4"/>
      <c r="P1250" s="4"/>
    </row>
    <row r="1251" spans="1:16" ht="13.5" thickBot="1">
      <c r="C1251" s="424"/>
      <c r="D1251" s="4"/>
      <c r="E1251" s="426"/>
      <c r="F1251" s="426"/>
      <c r="G1251" s="426"/>
      <c r="H1251" s="426"/>
      <c r="I1251" s="426"/>
      <c r="J1251" s="426"/>
      <c r="K1251" s="426"/>
      <c r="L1251" s="426"/>
      <c r="M1251" s="426"/>
      <c r="N1251" s="426"/>
      <c r="O1251" s="4"/>
      <c r="P1251" s="4"/>
    </row>
    <row r="1252" spans="1:16" ht="13.5" thickBot="1">
      <c r="C1252" s="427" t="s">
        <v>294</v>
      </c>
      <c r="D1252" s="428"/>
      <c r="E1252" s="428"/>
      <c r="F1252" s="428"/>
      <c r="G1252" s="428"/>
      <c r="H1252" s="428"/>
      <c r="I1252" s="429"/>
      <c r="K1252" s="4"/>
      <c r="L1252" s="4"/>
      <c r="M1252" s="4"/>
      <c r="N1252" s="4"/>
      <c r="O1252" s="4"/>
      <c r="P1252" s="4"/>
    </row>
    <row r="1253" spans="1:16" ht="15">
      <c r="C1253" s="430" t="s">
        <v>272</v>
      </c>
      <c r="D1253" s="842">
        <v>705824.57000000007</v>
      </c>
      <c r="E1253" s="4" t="s">
        <v>273</v>
      </c>
      <c r="G1253" s="67"/>
      <c r="H1253" s="67"/>
      <c r="I1253" s="431">
        <f>$L$26</f>
        <v>2026</v>
      </c>
      <c r="J1253" s="114"/>
      <c r="K1253" s="1278" t="s">
        <v>459</v>
      </c>
      <c r="L1253" s="1278"/>
      <c r="M1253" s="1278"/>
      <c r="N1253" s="1278"/>
      <c r="O1253" s="1278"/>
      <c r="P1253" s="4"/>
    </row>
    <row r="1254" spans="1:16">
      <c r="C1254" s="430" t="s">
        <v>275</v>
      </c>
      <c r="D1254" s="879">
        <v>2016</v>
      </c>
      <c r="E1254" s="430" t="s">
        <v>276</v>
      </c>
      <c r="F1254" s="67"/>
      <c r="I1254" s="564">
        <f>IF(G1247="",0,$F$15)</f>
        <v>0</v>
      </c>
      <c r="J1254" s="432"/>
      <c r="K1254" s="832" t="s">
        <v>459</v>
      </c>
      <c r="P1254" s="4"/>
    </row>
    <row r="1255" spans="1:16">
      <c r="C1255" s="430" t="s">
        <v>277</v>
      </c>
      <c r="D1255" s="842">
        <v>12</v>
      </c>
      <c r="E1255" s="430" t="s">
        <v>278</v>
      </c>
      <c r="F1255" s="67"/>
      <c r="I1255" s="433">
        <f>$G$70</f>
        <v>0.1119061905251431</v>
      </c>
      <c r="J1255" s="394"/>
      <c r="K1255" t="str">
        <f>"          INPUT PROJECTED ARR (WITH &amp; WITHOUT INCENTIVES) FROM EACH PRIOR YEAR"</f>
        <v xml:space="preserve">          INPUT PROJECTED ARR (WITH &amp; WITHOUT INCENTIVES) FROM EACH PRIOR YEAR</v>
      </c>
      <c r="P1255" s="4"/>
    </row>
    <row r="1256" spans="1:16">
      <c r="C1256" s="430" t="s">
        <v>279</v>
      </c>
      <c r="D1256" s="434">
        <f>G$79</f>
        <v>39</v>
      </c>
      <c r="E1256" s="430" t="s">
        <v>280</v>
      </c>
      <c r="F1256" s="67"/>
      <c r="I1256" s="433">
        <f>IF(G1247="",I1255,$G$67)</f>
        <v>0.1119061905251431</v>
      </c>
      <c r="J1256" s="394"/>
      <c r="K1256" t="s">
        <v>357</v>
      </c>
      <c r="P1256" s="4"/>
    </row>
    <row r="1257" spans="1:16" ht="13.5" thickBot="1">
      <c r="C1257" s="430" t="s">
        <v>281</v>
      </c>
      <c r="D1257" s="563" t="s">
        <v>931</v>
      </c>
      <c r="E1257" s="435" t="s">
        <v>282</v>
      </c>
      <c r="F1257" s="436"/>
      <c r="G1257" s="437"/>
      <c r="H1257" s="437"/>
      <c r="I1257" s="841">
        <f>IF(D1253=0,0,D1253/D1256)</f>
        <v>18098.065897435899</v>
      </c>
      <c r="J1257" s="832"/>
      <c r="K1257" s="832" t="s">
        <v>363</v>
      </c>
      <c r="L1257" s="832"/>
      <c r="M1257" s="832"/>
      <c r="N1257" s="832"/>
      <c r="O1257" s="4"/>
      <c r="P1257" s="4"/>
    </row>
    <row r="1258" spans="1:16" ht="51">
      <c r="A1258" s="322"/>
      <c r="B1258" s="322"/>
      <c r="C1258" s="438" t="s">
        <v>272</v>
      </c>
      <c r="D1258" s="844" t="s">
        <v>283</v>
      </c>
      <c r="E1258" s="845" t="s">
        <v>284</v>
      </c>
      <c r="F1258" s="844" t="s">
        <v>285</v>
      </c>
      <c r="G1258" s="845" t="s">
        <v>356</v>
      </c>
      <c r="H1258" s="846" t="s">
        <v>356</v>
      </c>
      <c r="I1258" s="438" t="s">
        <v>295</v>
      </c>
      <c r="J1258" s="442"/>
      <c r="K1258" s="845" t="s">
        <v>365</v>
      </c>
      <c r="L1258" s="847"/>
      <c r="M1258" s="845" t="s">
        <v>365</v>
      </c>
      <c r="N1258" s="847"/>
      <c r="O1258" s="847"/>
      <c r="P1258" s="4"/>
    </row>
    <row r="1259" spans="1:16" ht="13.5" thickBot="1">
      <c r="C1259" s="444" t="s">
        <v>177</v>
      </c>
      <c r="D1259" s="445" t="s">
        <v>178</v>
      </c>
      <c r="E1259" s="444" t="s">
        <v>37</v>
      </c>
      <c r="F1259" s="445" t="s">
        <v>178</v>
      </c>
      <c r="G1259" s="848" t="s">
        <v>298</v>
      </c>
      <c r="H1259" s="849" t="s">
        <v>300</v>
      </c>
      <c r="I1259" s="444" t="s">
        <v>389</v>
      </c>
      <c r="J1259" s="448"/>
      <c r="K1259" s="848" t="s">
        <v>287</v>
      </c>
      <c r="L1259" s="850"/>
      <c r="M1259" s="848" t="s">
        <v>300</v>
      </c>
      <c r="N1259" s="850"/>
      <c r="O1259" s="850"/>
      <c r="P1259" s="4"/>
    </row>
    <row r="1260" spans="1:16">
      <c r="C1260" s="878">
        <f>IF(D1254= "","-",D1254)</f>
        <v>2016</v>
      </c>
      <c r="D1260" s="412">
        <f>+D1253</f>
        <v>705824.57000000007</v>
      </c>
      <c r="E1260" s="851">
        <f>+I1257/12*(12-D1255)</f>
        <v>0</v>
      </c>
      <c r="F1260" s="412">
        <f>+D1260-E1260</f>
        <v>705824.57000000007</v>
      </c>
      <c r="G1260" s="852">
        <f>+$I$1255*((D1260+F1260)/2)+E1260</f>
        <v>78986.138807747207</v>
      </c>
      <c r="H1260" s="853">
        <f>+$I$1256*((D1260+F1260)/2)+E1260</f>
        <v>78986.138807747207</v>
      </c>
      <c r="I1260" s="453">
        <f t="shared" ref="I1260:I1319" si="83">+H1260-G1260</f>
        <v>0</v>
      </c>
      <c r="J1260" s="453"/>
      <c r="K1260" s="565">
        <v>0</v>
      </c>
      <c r="L1260" s="455"/>
      <c r="M1260" s="565">
        <v>0</v>
      </c>
      <c r="N1260" s="455"/>
      <c r="O1260" s="455"/>
      <c r="P1260" s="4"/>
    </row>
    <row r="1261" spans="1:16">
      <c r="C1261" s="878">
        <f>IF(D1254="","-",+C1260+1)</f>
        <v>2017</v>
      </c>
      <c r="D1261" s="856">
        <f>F1260</f>
        <v>705824.57000000007</v>
      </c>
      <c r="E1261" s="857">
        <f>IF(D1261&gt;$I$1257,$I$1257,D1261)</f>
        <v>18098.065897435899</v>
      </c>
      <c r="F1261" s="856">
        <f>+D1261-E1261</f>
        <v>687726.50410256418</v>
      </c>
      <c r="G1261" s="858">
        <f>+$I$1255*((D1261+F1261)/2)+E1261</f>
        <v>96071.561899955574</v>
      </c>
      <c r="H1261" s="859">
        <f>+$I$1256*((D1261+F1261)/2)+E1261</f>
        <v>96071.561899955574</v>
      </c>
      <c r="I1261" s="865">
        <f t="shared" si="83"/>
        <v>0</v>
      </c>
      <c r="J1261" s="453"/>
      <c r="K1261" s="566"/>
      <c r="L1261" s="459"/>
      <c r="M1261" s="566"/>
      <c r="N1261" s="459"/>
      <c r="O1261" s="459"/>
      <c r="P1261" s="4"/>
    </row>
    <row r="1262" spans="1:16">
      <c r="C1262" s="449">
        <f>IF(D1254="","-",+C1261+1)</f>
        <v>2018</v>
      </c>
      <c r="D1262" s="856">
        <f t="shared" ref="D1262:D1319" si="84">F1261</f>
        <v>687726.50410256418</v>
      </c>
      <c r="E1262" s="857">
        <f t="shared" ref="E1262:E1319" si="85">IF(D1262&gt;$I$1257,$I$1257,D1262)</f>
        <v>18098.065897435899</v>
      </c>
      <c r="F1262" s="856">
        <f t="shared" ref="F1262:F1319" si="86">+D1262-E1262</f>
        <v>669628.4382051283</v>
      </c>
      <c r="G1262" s="858">
        <f t="shared" ref="G1262:G1319" si="87">+$I$1255*((D1262+F1262)/2)+E1262</f>
        <v>94046.276289500529</v>
      </c>
      <c r="H1262" s="859">
        <f t="shared" ref="H1262:H1319" si="88">+$I$1256*((D1262+F1262)/2)+E1262</f>
        <v>94046.276289500529</v>
      </c>
      <c r="I1262" s="453">
        <f t="shared" si="83"/>
        <v>0</v>
      </c>
      <c r="J1262" s="453"/>
      <c r="K1262" s="876"/>
      <c r="L1262" s="864"/>
      <c r="M1262" s="876"/>
      <c r="N1262" s="459"/>
      <c r="O1262" s="459"/>
      <c r="P1262" s="4"/>
    </row>
    <row r="1263" spans="1:16">
      <c r="C1263" s="449">
        <f>IF(D1254="","-",+C1262+1)</f>
        <v>2019</v>
      </c>
      <c r="D1263" s="856">
        <f t="shared" si="84"/>
        <v>669628.4382051283</v>
      </c>
      <c r="E1263" s="857">
        <f t="shared" si="85"/>
        <v>18098.065897435899</v>
      </c>
      <c r="F1263" s="856">
        <f t="shared" si="86"/>
        <v>651530.37230769242</v>
      </c>
      <c r="G1263" s="858">
        <f t="shared" si="87"/>
        <v>92020.99067904547</v>
      </c>
      <c r="H1263" s="859">
        <f t="shared" si="88"/>
        <v>92020.99067904547</v>
      </c>
      <c r="I1263" s="453">
        <f t="shared" si="83"/>
        <v>0</v>
      </c>
      <c r="J1263" s="453"/>
      <c r="K1263" s="566"/>
      <c r="L1263" s="459"/>
      <c r="M1263" s="566"/>
      <c r="N1263" s="459"/>
      <c r="O1263" s="459"/>
      <c r="P1263" s="4"/>
    </row>
    <row r="1264" spans="1:16">
      <c r="C1264" s="449">
        <f>IF(D1254="","-",+C1263+1)</f>
        <v>2020</v>
      </c>
      <c r="D1264" s="856">
        <f t="shared" si="84"/>
        <v>651530.37230769242</v>
      </c>
      <c r="E1264" s="857">
        <f t="shared" si="85"/>
        <v>18098.065897435899</v>
      </c>
      <c r="F1264" s="856">
        <f t="shared" si="86"/>
        <v>633432.30641025654</v>
      </c>
      <c r="G1264" s="858">
        <f t="shared" si="87"/>
        <v>89995.705068590411</v>
      </c>
      <c r="H1264" s="859">
        <f t="shared" si="88"/>
        <v>89995.705068590411</v>
      </c>
      <c r="I1264" s="453">
        <f t="shared" si="83"/>
        <v>0</v>
      </c>
      <c r="J1264" s="453"/>
      <c r="K1264" s="566">
        <v>82029.058144338895</v>
      </c>
      <c r="L1264" s="459"/>
      <c r="M1264" s="566">
        <v>82029.058144338895</v>
      </c>
      <c r="N1264" s="459"/>
      <c r="O1264" s="459"/>
      <c r="P1264" s="4"/>
    </row>
    <row r="1265" spans="3:16">
      <c r="C1265" s="449">
        <f>IF(D1254="","-",+C1264+1)</f>
        <v>2021</v>
      </c>
      <c r="D1265" s="856">
        <f t="shared" si="84"/>
        <v>633432.30641025654</v>
      </c>
      <c r="E1265" s="857">
        <f t="shared" si="85"/>
        <v>18098.065897435899</v>
      </c>
      <c r="F1265" s="856">
        <f t="shared" si="86"/>
        <v>615334.24051282066</v>
      </c>
      <c r="G1265" s="858">
        <f t="shared" si="87"/>
        <v>87970.419458135366</v>
      </c>
      <c r="H1265" s="859">
        <f t="shared" si="88"/>
        <v>87970.419458135366</v>
      </c>
      <c r="I1265" s="453">
        <f t="shared" si="83"/>
        <v>0</v>
      </c>
      <c r="J1265" s="453"/>
      <c r="K1265" s="566">
        <v>81169.694737356709</v>
      </c>
      <c r="L1265" s="459"/>
      <c r="M1265" s="566">
        <v>81169.694737356709</v>
      </c>
      <c r="N1265" s="459"/>
      <c r="O1265" s="459"/>
      <c r="P1265" s="4"/>
    </row>
    <row r="1266" spans="3:16">
      <c r="C1266" s="449">
        <f>IF(D1257="","-",+C1265+1)</f>
        <v>2022</v>
      </c>
      <c r="D1266" s="856">
        <f t="shared" si="84"/>
        <v>615334.24051282066</v>
      </c>
      <c r="E1266" s="857">
        <f t="shared" si="85"/>
        <v>18098.065897435899</v>
      </c>
      <c r="F1266" s="856">
        <f t="shared" si="86"/>
        <v>597236.17461538478</v>
      </c>
      <c r="G1266" s="858">
        <f t="shared" si="87"/>
        <v>85945.133847680307</v>
      </c>
      <c r="H1266" s="859">
        <f t="shared" si="88"/>
        <v>85945.133847680307</v>
      </c>
      <c r="I1266" s="453">
        <f t="shared" si="83"/>
        <v>0</v>
      </c>
      <c r="J1266" s="453"/>
      <c r="K1266" s="566">
        <v>80241.319447809365</v>
      </c>
      <c r="L1266" s="459"/>
      <c r="M1266" s="566">
        <v>80241.319447809365</v>
      </c>
      <c r="N1266" s="459"/>
      <c r="O1266" s="459"/>
      <c r="P1266" s="4"/>
    </row>
    <row r="1267" spans="3:16">
      <c r="C1267" s="449">
        <f>IF(D1257="","-",+C1266+1)</f>
        <v>2023</v>
      </c>
      <c r="D1267" s="856">
        <f t="shared" si="84"/>
        <v>597236.17461538478</v>
      </c>
      <c r="E1267" s="857">
        <f t="shared" si="85"/>
        <v>18098.065897435899</v>
      </c>
      <c r="F1267" s="856">
        <f t="shared" si="86"/>
        <v>579138.1087179489</v>
      </c>
      <c r="G1267" s="858">
        <f t="shared" si="87"/>
        <v>83919.848237225247</v>
      </c>
      <c r="H1267" s="859">
        <f t="shared" si="88"/>
        <v>83919.848237225247</v>
      </c>
      <c r="I1267" s="865">
        <f t="shared" si="83"/>
        <v>0</v>
      </c>
      <c r="J1267" s="453"/>
      <c r="K1267" s="566">
        <v>83069.401191601428</v>
      </c>
      <c r="L1267" s="459"/>
      <c r="M1267" s="566">
        <v>83069.401191601428</v>
      </c>
      <c r="N1267" s="459"/>
      <c r="O1267" s="459"/>
      <c r="P1267" s="4"/>
    </row>
    <row r="1268" spans="3:16">
      <c r="C1268" s="449">
        <f>IF(D1254="","-",+C1267+1)</f>
        <v>2024</v>
      </c>
      <c r="D1268" s="856">
        <f t="shared" si="84"/>
        <v>579138.1087179489</v>
      </c>
      <c r="E1268" s="857">
        <f t="shared" si="85"/>
        <v>18098.065897435899</v>
      </c>
      <c r="F1268" s="856">
        <f t="shared" si="86"/>
        <v>561040.04282051302</v>
      </c>
      <c r="G1268" s="858">
        <f t="shared" si="87"/>
        <v>81894.562626770203</v>
      </c>
      <c r="H1268" s="859">
        <f t="shared" si="88"/>
        <v>81894.562626770203</v>
      </c>
      <c r="I1268" s="453">
        <f t="shared" si="83"/>
        <v>0</v>
      </c>
      <c r="J1268" s="453"/>
      <c r="K1268" s="566">
        <v>80313.315254780784</v>
      </c>
      <c r="L1268" s="459"/>
      <c r="M1268" s="566">
        <v>80313.315254780784</v>
      </c>
      <c r="N1268" s="459"/>
      <c r="O1268" s="459"/>
      <c r="P1268" s="4"/>
    </row>
    <row r="1269" spans="3:16">
      <c r="C1269" s="449">
        <f>IF(D1254="","-",+C1268+1)</f>
        <v>2025</v>
      </c>
      <c r="D1269" s="856">
        <f t="shared" si="84"/>
        <v>561040.04282051302</v>
      </c>
      <c r="E1269" s="857">
        <f t="shared" si="85"/>
        <v>18098.065897435899</v>
      </c>
      <c r="F1269" s="856">
        <f t="shared" si="86"/>
        <v>542941.97692307713</v>
      </c>
      <c r="G1269" s="858">
        <f t="shared" si="87"/>
        <v>79869.277016315144</v>
      </c>
      <c r="H1269" s="859">
        <f t="shared" si="88"/>
        <v>79869.277016315144</v>
      </c>
      <c r="I1269" s="453">
        <f t="shared" si="83"/>
        <v>0</v>
      </c>
      <c r="J1269" s="453"/>
      <c r="K1269" s="566">
        <v>78765.545497418003</v>
      </c>
      <c r="L1269" s="459"/>
      <c r="M1269" s="566">
        <v>78765.545497418003</v>
      </c>
      <c r="N1269" s="459"/>
      <c r="O1269" s="459"/>
      <c r="P1269" s="4"/>
    </row>
    <row r="1270" spans="3:16">
      <c r="C1270" s="855">
        <f>IF(D1254="","-",+C1269+1)</f>
        <v>2026</v>
      </c>
      <c r="D1270" s="856">
        <f t="shared" si="84"/>
        <v>542941.97692307713</v>
      </c>
      <c r="E1270" s="857">
        <f t="shared" si="85"/>
        <v>18098.065897435899</v>
      </c>
      <c r="F1270" s="856">
        <f t="shared" si="86"/>
        <v>524843.91102564125</v>
      </c>
      <c r="G1270" s="858">
        <f t="shared" si="87"/>
        <v>77843.991405860084</v>
      </c>
      <c r="H1270" s="859">
        <f t="shared" si="88"/>
        <v>77843.991405860084</v>
      </c>
      <c r="I1270" s="453">
        <f t="shared" si="83"/>
        <v>0</v>
      </c>
      <c r="J1270" s="453"/>
      <c r="K1270" s="566"/>
      <c r="L1270" s="459"/>
      <c r="M1270" s="566"/>
      <c r="N1270" s="459"/>
      <c r="O1270" s="459"/>
      <c r="P1270" s="4"/>
    </row>
    <row r="1271" spans="3:16">
      <c r="C1271" s="449">
        <f>IF(D1254="","-",+C1270+1)</f>
        <v>2027</v>
      </c>
      <c r="D1271" s="856">
        <f t="shared" si="84"/>
        <v>524843.91102564125</v>
      </c>
      <c r="E1271" s="857">
        <f t="shared" si="85"/>
        <v>18098.065897435899</v>
      </c>
      <c r="F1271" s="856">
        <f t="shared" si="86"/>
        <v>506745.84512820537</v>
      </c>
      <c r="G1271" s="858">
        <f t="shared" si="87"/>
        <v>75818.70579540504</v>
      </c>
      <c r="H1271" s="859">
        <f t="shared" si="88"/>
        <v>75818.70579540504</v>
      </c>
      <c r="I1271" s="453">
        <f t="shared" si="83"/>
        <v>0</v>
      </c>
      <c r="J1271" s="453"/>
      <c r="K1271" s="566"/>
      <c r="L1271" s="459"/>
      <c r="M1271" s="566"/>
      <c r="N1271" s="459"/>
      <c r="O1271" s="459"/>
      <c r="P1271" s="4"/>
    </row>
    <row r="1272" spans="3:16">
      <c r="C1272" s="449">
        <f>IF(D1254="","-",+C1271+1)</f>
        <v>2028</v>
      </c>
      <c r="D1272" s="856">
        <f t="shared" si="84"/>
        <v>506745.84512820537</v>
      </c>
      <c r="E1272" s="857">
        <f t="shared" si="85"/>
        <v>18098.065897435899</v>
      </c>
      <c r="F1272" s="856">
        <f t="shared" si="86"/>
        <v>488647.77923076949</v>
      </c>
      <c r="G1272" s="858">
        <f t="shared" si="87"/>
        <v>73793.42018494998</v>
      </c>
      <c r="H1272" s="859">
        <f t="shared" si="88"/>
        <v>73793.42018494998</v>
      </c>
      <c r="I1272" s="453">
        <f t="shared" si="83"/>
        <v>0</v>
      </c>
      <c r="J1272" s="453"/>
      <c r="K1272" s="566"/>
      <c r="L1272" s="459"/>
      <c r="M1272" s="566"/>
      <c r="N1272" s="460"/>
      <c r="O1272" s="459"/>
      <c r="P1272" s="4"/>
    </row>
    <row r="1273" spans="3:16">
      <c r="C1273" s="449">
        <f>IF(D1254="","-",+C1272+1)</f>
        <v>2029</v>
      </c>
      <c r="D1273" s="856">
        <f t="shared" si="84"/>
        <v>488647.77923076949</v>
      </c>
      <c r="E1273" s="857">
        <f t="shared" si="85"/>
        <v>18098.065897435899</v>
      </c>
      <c r="F1273" s="856">
        <f t="shared" si="86"/>
        <v>470549.71333333361</v>
      </c>
      <c r="G1273" s="858">
        <f t="shared" si="87"/>
        <v>71768.134574494921</v>
      </c>
      <c r="H1273" s="859">
        <f t="shared" si="88"/>
        <v>71768.134574494921</v>
      </c>
      <c r="I1273" s="453">
        <f t="shared" si="83"/>
        <v>0</v>
      </c>
      <c r="J1273" s="453"/>
      <c r="K1273" s="566"/>
      <c r="L1273" s="459"/>
      <c r="M1273" s="566"/>
      <c r="N1273" s="459"/>
      <c r="O1273" s="459"/>
      <c r="P1273" s="4"/>
    </row>
    <row r="1274" spans="3:16">
      <c r="C1274" s="449">
        <f>IF(D1254="","-",+C1273+1)</f>
        <v>2030</v>
      </c>
      <c r="D1274" s="856">
        <f t="shared" si="84"/>
        <v>470549.71333333361</v>
      </c>
      <c r="E1274" s="857">
        <f t="shared" si="85"/>
        <v>18098.065897435899</v>
      </c>
      <c r="F1274" s="856">
        <f t="shared" si="86"/>
        <v>452451.64743589773</v>
      </c>
      <c r="G1274" s="858">
        <f t="shared" si="87"/>
        <v>69742.848964039877</v>
      </c>
      <c r="H1274" s="859">
        <f t="shared" si="88"/>
        <v>69742.848964039877</v>
      </c>
      <c r="I1274" s="453">
        <f t="shared" si="83"/>
        <v>0</v>
      </c>
      <c r="J1274" s="453"/>
      <c r="K1274" s="566"/>
      <c r="L1274" s="459"/>
      <c r="M1274" s="566"/>
      <c r="N1274" s="459"/>
      <c r="O1274" s="459"/>
      <c r="P1274" s="4"/>
    </row>
    <row r="1275" spans="3:16">
      <c r="C1275" s="449">
        <f>IF(D1254="","-",+C1274+1)</f>
        <v>2031</v>
      </c>
      <c r="D1275" s="856">
        <f t="shared" si="84"/>
        <v>452451.64743589773</v>
      </c>
      <c r="E1275" s="857">
        <f t="shared" si="85"/>
        <v>18098.065897435899</v>
      </c>
      <c r="F1275" s="856">
        <f t="shared" si="86"/>
        <v>434353.58153846185</v>
      </c>
      <c r="G1275" s="858">
        <f t="shared" si="87"/>
        <v>67717.563353584817</v>
      </c>
      <c r="H1275" s="859">
        <f t="shared" si="88"/>
        <v>67717.563353584817</v>
      </c>
      <c r="I1275" s="453">
        <f t="shared" si="83"/>
        <v>0</v>
      </c>
      <c r="J1275" s="453"/>
      <c r="K1275" s="566"/>
      <c r="L1275" s="459"/>
      <c r="M1275" s="566"/>
      <c r="N1275" s="459"/>
      <c r="O1275" s="459"/>
      <c r="P1275" s="4"/>
    </row>
    <row r="1276" spans="3:16">
      <c r="C1276" s="449">
        <f>IF(D1254="","-",+C1275+1)</f>
        <v>2032</v>
      </c>
      <c r="D1276" s="856">
        <f t="shared" si="84"/>
        <v>434353.58153846185</v>
      </c>
      <c r="E1276" s="857">
        <f t="shared" si="85"/>
        <v>18098.065897435899</v>
      </c>
      <c r="F1276" s="856">
        <f t="shared" si="86"/>
        <v>416255.51564102597</v>
      </c>
      <c r="G1276" s="858">
        <f t="shared" si="87"/>
        <v>65692.277743129758</v>
      </c>
      <c r="H1276" s="859">
        <f t="shared" si="88"/>
        <v>65692.277743129758</v>
      </c>
      <c r="I1276" s="453">
        <f t="shared" si="83"/>
        <v>0</v>
      </c>
      <c r="J1276" s="453"/>
      <c r="K1276" s="566"/>
      <c r="L1276" s="459"/>
      <c r="M1276" s="566"/>
      <c r="N1276" s="459"/>
      <c r="O1276" s="459"/>
      <c r="P1276" s="4"/>
    </row>
    <row r="1277" spans="3:16">
      <c r="C1277" s="449">
        <f>IF(D1254="","-",+C1276+1)</f>
        <v>2033</v>
      </c>
      <c r="D1277" s="856">
        <f t="shared" si="84"/>
        <v>416255.51564102597</v>
      </c>
      <c r="E1277" s="857">
        <f t="shared" si="85"/>
        <v>18098.065897435899</v>
      </c>
      <c r="F1277" s="856">
        <f t="shared" si="86"/>
        <v>398157.44974359008</v>
      </c>
      <c r="G1277" s="858">
        <f t="shared" si="87"/>
        <v>63666.992132674714</v>
      </c>
      <c r="H1277" s="859">
        <f t="shared" si="88"/>
        <v>63666.992132674714</v>
      </c>
      <c r="I1277" s="453">
        <f t="shared" si="83"/>
        <v>0</v>
      </c>
      <c r="J1277" s="453"/>
      <c r="K1277" s="566"/>
      <c r="L1277" s="459"/>
      <c r="M1277" s="566"/>
      <c r="N1277" s="459"/>
      <c r="O1277" s="459"/>
      <c r="P1277" s="4"/>
    </row>
    <row r="1278" spans="3:16">
      <c r="C1278" s="449">
        <f>IF(D1254="","-",+C1277+1)</f>
        <v>2034</v>
      </c>
      <c r="D1278" s="856">
        <f t="shared" si="84"/>
        <v>398157.44974359008</v>
      </c>
      <c r="E1278" s="857">
        <f t="shared" si="85"/>
        <v>18098.065897435899</v>
      </c>
      <c r="F1278" s="856">
        <f t="shared" si="86"/>
        <v>380059.3838461542</v>
      </c>
      <c r="G1278" s="858">
        <f t="shared" si="87"/>
        <v>61641.706522219654</v>
      </c>
      <c r="H1278" s="859">
        <f t="shared" si="88"/>
        <v>61641.706522219654</v>
      </c>
      <c r="I1278" s="453">
        <f t="shared" si="83"/>
        <v>0</v>
      </c>
      <c r="J1278" s="453"/>
      <c r="K1278" s="566"/>
      <c r="L1278" s="459"/>
      <c r="M1278" s="566"/>
      <c r="N1278" s="459"/>
      <c r="O1278" s="459"/>
      <c r="P1278" s="4"/>
    </row>
    <row r="1279" spans="3:16">
      <c r="C1279" s="449">
        <f>IF(D1254="","-",+C1278+1)</f>
        <v>2035</v>
      </c>
      <c r="D1279" s="856">
        <f t="shared" si="84"/>
        <v>380059.3838461542</v>
      </c>
      <c r="E1279" s="857">
        <f t="shared" si="85"/>
        <v>18098.065897435899</v>
      </c>
      <c r="F1279" s="856">
        <f t="shared" si="86"/>
        <v>361961.31794871832</v>
      </c>
      <c r="G1279" s="858">
        <f t="shared" si="87"/>
        <v>59616.420911764595</v>
      </c>
      <c r="H1279" s="859">
        <f t="shared" si="88"/>
        <v>59616.420911764595</v>
      </c>
      <c r="I1279" s="453">
        <f t="shared" si="83"/>
        <v>0</v>
      </c>
      <c r="J1279" s="453"/>
      <c r="K1279" s="566"/>
      <c r="L1279" s="459"/>
      <c r="M1279" s="566"/>
      <c r="N1279" s="459"/>
      <c r="O1279" s="459"/>
      <c r="P1279" s="4"/>
    </row>
    <row r="1280" spans="3:16">
      <c r="C1280" s="449">
        <f>IF(D1254="","-",+C1279+1)</f>
        <v>2036</v>
      </c>
      <c r="D1280" s="856">
        <f t="shared" si="84"/>
        <v>361961.31794871832</v>
      </c>
      <c r="E1280" s="857">
        <f t="shared" si="85"/>
        <v>18098.065897435899</v>
      </c>
      <c r="F1280" s="856">
        <f t="shared" si="86"/>
        <v>343863.25205128244</v>
      </c>
      <c r="G1280" s="858">
        <f t="shared" si="87"/>
        <v>57591.135301309536</v>
      </c>
      <c r="H1280" s="859">
        <f t="shared" si="88"/>
        <v>57591.135301309536</v>
      </c>
      <c r="I1280" s="453">
        <f t="shared" si="83"/>
        <v>0</v>
      </c>
      <c r="J1280" s="453"/>
      <c r="K1280" s="566"/>
      <c r="L1280" s="459"/>
      <c r="M1280" s="566"/>
      <c r="N1280" s="459"/>
      <c r="O1280" s="459"/>
      <c r="P1280" s="4"/>
    </row>
    <row r="1281" spans="3:16">
      <c r="C1281" s="449">
        <f>IF(D1254="","-",+C1280+1)</f>
        <v>2037</v>
      </c>
      <c r="D1281" s="856">
        <f t="shared" si="84"/>
        <v>343863.25205128244</v>
      </c>
      <c r="E1281" s="857">
        <f t="shared" si="85"/>
        <v>18098.065897435899</v>
      </c>
      <c r="F1281" s="856">
        <f t="shared" si="86"/>
        <v>325765.18615384656</v>
      </c>
      <c r="G1281" s="858">
        <f t="shared" si="87"/>
        <v>55565.849690854491</v>
      </c>
      <c r="H1281" s="859">
        <f t="shared" si="88"/>
        <v>55565.849690854491</v>
      </c>
      <c r="I1281" s="453">
        <f t="shared" si="83"/>
        <v>0</v>
      </c>
      <c r="J1281" s="453"/>
      <c r="K1281" s="566"/>
      <c r="L1281" s="459"/>
      <c r="M1281" s="566"/>
      <c r="N1281" s="459"/>
      <c r="O1281" s="459"/>
      <c r="P1281" s="4"/>
    </row>
    <row r="1282" spans="3:16">
      <c r="C1282" s="449">
        <f>IF(D1254="","-",+C1281+1)</f>
        <v>2038</v>
      </c>
      <c r="D1282" s="856">
        <f t="shared" si="84"/>
        <v>325765.18615384656</v>
      </c>
      <c r="E1282" s="857">
        <f t="shared" si="85"/>
        <v>18098.065897435899</v>
      </c>
      <c r="F1282" s="856">
        <f t="shared" si="86"/>
        <v>307667.12025641068</v>
      </c>
      <c r="G1282" s="858">
        <f t="shared" si="87"/>
        <v>53540.564080399432</v>
      </c>
      <c r="H1282" s="859">
        <f t="shared" si="88"/>
        <v>53540.564080399432</v>
      </c>
      <c r="I1282" s="453">
        <f t="shared" si="83"/>
        <v>0</v>
      </c>
      <c r="J1282" s="453"/>
      <c r="K1282" s="566"/>
      <c r="L1282" s="459"/>
      <c r="M1282" s="566"/>
      <c r="N1282" s="459"/>
      <c r="O1282" s="459"/>
      <c r="P1282" s="4"/>
    </row>
    <row r="1283" spans="3:16">
      <c r="C1283" s="449">
        <f>IF(D1254="","-",+C1282+1)</f>
        <v>2039</v>
      </c>
      <c r="D1283" s="856">
        <f t="shared" si="84"/>
        <v>307667.12025641068</v>
      </c>
      <c r="E1283" s="857">
        <f t="shared" si="85"/>
        <v>18098.065897435899</v>
      </c>
      <c r="F1283" s="856">
        <f t="shared" si="86"/>
        <v>289569.0543589748</v>
      </c>
      <c r="G1283" s="858">
        <f t="shared" si="87"/>
        <v>51515.278469944373</v>
      </c>
      <c r="H1283" s="859">
        <f t="shared" si="88"/>
        <v>51515.278469944373</v>
      </c>
      <c r="I1283" s="453">
        <f t="shared" si="83"/>
        <v>0</v>
      </c>
      <c r="J1283" s="453"/>
      <c r="K1283" s="566"/>
      <c r="L1283" s="459"/>
      <c r="M1283" s="566"/>
      <c r="N1283" s="459"/>
      <c r="O1283" s="459"/>
      <c r="P1283" s="4"/>
    </row>
    <row r="1284" spans="3:16">
      <c r="C1284" s="449">
        <f>IF(D1254="","-",+C1283+1)</f>
        <v>2040</v>
      </c>
      <c r="D1284" s="856">
        <f t="shared" si="84"/>
        <v>289569.0543589748</v>
      </c>
      <c r="E1284" s="857">
        <f t="shared" si="85"/>
        <v>18098.065897435899</v>
      </c>
      <c r="F1284" s="856">
        <f t="shared" si="86"/>
        <v>271470.98846153892</v>
      </c>
      <c r="G1284" s="858">
        <f t="shared" si="87"/>
        <v>49489.992859489328</v>
      </c>
      <c r="H1284" s="859">
        <f t="shared" si="88"/>
        <v>49489.992859489328</v>
      </c>
      <c r="I1284" s="453">
        <f t="shared" si="83"/>
        <v>0</v>
      </c>
      <c r="J1284" s="453"/>
      <c r="K1284" s="566"/>
      <c r="L1284" s="459"/>
      <c r="M1284" s="566"/>
      <c r="N1284" s="459"/>
      <c r="O1284" s="459"/>
      <c r="P1284" s="4"/>
    </row>
    <row r="1285" spans="3:16">
      <c r="C1285" s="449">
        <f>IF(D1254="","-",+C1284+1)</f>
        <v>2041</v>
      </c>
      <c r="D1285" s="856">
        <f t="shared" si="84"/>
        <v>271470.98846153892</v>
      </c>
      <c r="E1285" s="857">
        <f t="shared" si="85"/>
        <v>18098.065897435899</v>
      </c>
      <c r="F1285" s="856">
        <f t="shared" si="86"/>
        <v>253372.92256410301</v>
      </c>
      <c r="G1285" s="858">
        <f t="shared" si="87"/>
        <v>47464.707249034269</v>
      </c>
      <c r="H1285" s="859">
        <f t="shared" si="88"/>
        <v>47464.707249034269</v>
      </c>
      <c r="I1285" s="453">
        <f t="shared" si="83"/>
        <v>0</v>
      </c>
      <c r="J1285" s="453"/>
      <c r="K1285" s="566"/>
      <c r="L1285" s="459"/>
      <c r="M1285" s="566"/>
      <c r="N1285" s="459"/>
      <c r="O1285" s="459"/>
      <c r="P1285" s="4"/>
    </row>
    <row r="1286" spans="3:16">
      <c r="C1286" s="449">
        <f>IF(D1254="","-",+C1285+1)</f>
        <v>2042</v>
      </c>
      <c r="D1286" s="856">
        <f t="shared" si="84"/>
        <v>253372.92256410301</v>
      </c>
      <c r="E1286" s="857">
        <f t="shared" si="85"/>
        <v>18098.065897435899</v>
      </c>
      <c r="F1286" s="856">
        <f t="shared" si="86"/>
        <v>235274.8566666671</v>
      </c>
      <c r="G1286" s="858">
        <f t="shared" si="87"/>
        <v>45439.42163857921</v>
      </c>
      <c r="H1286" s="859">
        <f t="shared" si="88"/>
        <v>45439.42163857921</v>
      </c>
      <c r="I1286" s="453">
        <f t="shared" si="83"/>
        <v>0</v>
      </c>
      <c r="J1286" s="453"/>
      <c r="K1286" s="566"/>
      <c r="L1286" s="459"/>
      <c r="M1286" s="566"/>
      <c r="N1286" s="459"/>
      <c r="O1286" s="459"/>
      <c r="P1286" s="4"/>
    </row>
    <row r="1287" spans="3:16">
      <c r="C1287" s="449">
        <f>IF(D1254="","-",+C1286+1)</f>
        <v>2043</v>
      </c>
      <c r="D1287" s="856">
        <f t="shared" si="84"/>
        <v>235274.8566666671</v>
      </c>
      <c r="E1287" s="857">
        <f t="shared" si="85"/>
        <v>18098.065897435899</v>
      </c>
      <c r="F1287" s="856">
        <f t="shared" si="86"/>
        <v>217176.79076923119</v>
      </c>
      <c r="G1287" s="858">
        <f t="shared" si="87"/>
        <v>43414.13602812415</v>
      </c>
      <c r="H1287" s="859">
        <f t="shared" si="88"/>
        <v>43414.13602812415</v>
      </c>
      <c r="I1287" s="453">
        <f t="shared" si="83"/>
        <v>0</v>
      </c>
      <c r="J1287" s="453"/>
      <c r="K1287" s="566"/>
      <c r="L1287" s="459"/>
      <c r="M1287" s="566"/>
      <c r="N1287" s="459"/>
      <c r="O1287" s="459"/>
      <c r="P1287" s="4"/>
    </row>
    <row r="1288" spans="3:16">
      <c r="C1288" s="449">
        <f>IF(D1254="","-",+C1287+1)</f>
        <v>2044</v>
      </c>
      <c r="D1288" s="856">
        <f t="shared" si="84"/>
        <v>217176.79076923119</v>
      </c>
      <c r="E1288" s="857">
        <f t="shared" si="85"/>
        <v>18098.065897435899</v>
      </c>
      <c r="F1288" s="856">
        <f t="shared" si="86"/>
        <v>199078.72487179528</v>
      </c>
      <c r="G1288" s="858">
        <f t="shared" si="87"/>
        <v>41388.850417669091</v>
      </c>
      <c r="H1288" s="859">
        <f t="shared" si="88"/>
        <v>41388.850417669091</v>
      </c>
      <c r="I1288" s="453">
        <f t="shared" si="83"/>
        <v>0</v>
      </c>
      <c r="J1288" s="453"/>
      <c r="K1288" s="566"/>
      <c r="L1288" s="459"/>
      <c r="M1288" s="566"/>
      <c r="N1288" s="459"/>
      <c r="O1288" s="459"/>
      <c r="P1288" s="4"/>
    </row>
    <row r="1289" spans="3:16">
      <c r="C1289" s="449">
        <f>IF(D1254="","-",+C1288+1)</f>
        <v>2045</v>
      </c>
      <c r="D1289" s="856">
        <f t="shared" si="84"/>
        <v>199078.72487179528</v>
      </c>
      <c r="E1289" s="857">
        <f t="shared" si="85"/>
        <v>18098.065897435899</v>
      </c>
      <c r="F1289" s="856">
        <f t="shared" si="86"/>
        <v>180980.65897435936</v>
      </c>
      <c r="G1289" s="858">
        <f t="shared" si="87"/>
        <v>39363.564807214039</v>
      </c>
      <c r="H1289" s="859">
        <f t="shared" si="88"/>
        <v>39363.564807214039</v>
      </c>
      <c r="I1289" s="453">
        <f t="shared" si="83"/>
        <v>0</v>
      </c>
      <c r="J1289" s="453"/>
      <c r="K1289" s="566"/>
      <c r="L1289" s="459"/>
      <c r="M1289" s="566"/>
      <c r="N1289" s="459"/>
      <c r="O1289" s="459"/>
      <c r="P1289" s="4"/>
    </row>
    <row r="1290" spans="3:16">
      <c r="C1290" s="449">
        <f>IF(D1254="","-",+C1289+1)</f>
        <v>2046</v>
      </c>
      <c r="D1290" s="856">
        <f t="shared" si="84"/>
        <v>180980.65897435936</v>
      </c>
      <c r="E1290" s="857">
        <f t="shared" si="85"/>
        <v>18098.065897435899</v>
      </c>
      <c r="F1290" s="856">
        <f t="shared" si="86"/>
        <v>162882.59307692345</v>
      </c>
      <c r="G1290" s="858">
        <f t="shared" si="87"/>
        <v>37338.279196758973</v>
      </c>
      <c r="H1290" s="859">
        <f t="shared" si="88"/>
        <v>37338.279196758973</v>
      </c>
      <c r="I1290" s="453">
        <f t="shared" si="83"/>
        <v>0</v>
      </c>
      <c r="J1290" s="453"/>
      <c r="K1290" s="566"/>
      <c r="L1290" s="459"/>
      <c r="M1290" s="566"/>
      <c r="N1290" s="459"/>
      <c r="O1290" s="459"/>
      <c r="P1290" s="4"/>
    </row>
    <row r="1291" spans="3:16">
      <c r="C1291" s="449">
        <f>IF(D1254="","-",+C1290+1)</f>
        <v>2047</v>
      </c>
      <c r="D1291" s="856">
        <f t="shared" si="84"/>
        <v>162882.59307692345</v>
      </c>
      <c r="E1291" s="857">
        <f t="shared" si="85"/>
        <v>18098.065897435899</v>
      </c>
      <c r="F1291" s="856">
        <f t="shared" si="86"/>
        <v>144784.52717948754</v>
      </c>
      <c r="G1291" s="858">
        <f t="shared" si="87"/>
        <v>35312.993586303921</v>
      </c>
      <c r="H1291" s="859">
        <f t="shared" si="88"/>
        <v>35312.993586303921</v>
      </c>
      <c r="I1291" s="453">
        <f t="shared" si="83"/>
        <v>0</v>
      </c>
      <c r="J1291" s="453"/>
      <c r="K1291" s="566"/>
      <c r="L1291" s="459"/>
      <c r="M1291" s="566"/>
      <c r="N1291" s="459"/>
      <c r="O1291" s="459"/>
      <c r="P1291" s="4"/>
    </row>
    <row r="1292" spans="3:16">
      <c r="C1292" s="449">
        <f>IF(D1254="","-",+C1291+1)</f>
        <v>2048</v>
      </c>
      <c r="D1292" s="856">
        <f t="shared" si="84"/>
        <v>144784.52717948754</v>
      </c>
      <c r="E1292" s="857">
        <f t="shared" si="85"/>
        <v>18098.065897435899</v>
      </c>
      <c r="F1292" s="856">
        <f t="shared" si="86"/>
        <v>126686.46128205165</v>
      </c>
      <c r="G1292" s="858">
        <f t="shared" si="87"/>
        <v>33287.707975848869</v>
      </c>
      <c r="H1292" s="859">
        <f t="shared" si="88"/>
        <v>33287.707975848869</v>
      </c>
      <c r="I1292" s="453">
        <f t="shared" si="83"/>
        <v>0</v>
      </c>
      <c r="J1292" s="453"/>
      <c r="K1292" s="566"/>
      <c r="L1292" s="459"/>
      <c r="M1292" s="566"/>
      <c r="N1292" s="459"/>
      <c r="O1292" s="459"/>
      <c r="P1292" s="4"/>
    </row>
    <row r="1293" spans="3:16">
      <c r="C1293" s="449">
        <f>IF(D1254="","-",+C1292+1)</f>
        <v>2049</v>
      </c>
      <c r="D1293" s="856">
        <f t="shared" si="84"/>
        <v>126686.46128205165</v>
      </c>
      <c r="E1293" s="857">
        <f t="shared" si="85"/>
        <v>18098.065897435899</v>
      </c>
      <c r="F1293" s="856">
        <f t="shared" si="86"/>
        <v>108588.39538461575</v>
      </c>
      <c r="G1293" s="858">
        <f t="shared" si="87"/>
        <v>31262.422365393806</v>
      </c>
      <c r="H1293" s="859">
        <f t="shared" si="88"/>
        <v>31262.422365393806</v>
      </c>
      <c r="I1293" s="453">
        <f t="shared" si="83"/>
        <v>0</v>
      </c>
      <c r="J1293" s="453"/>
      <c r="K1293" s="566"/>
      <c r="L1293" s="459"/>
      <c r="M1293" s="566"/>
      <c r="N1293" s="459"/>
      <c r="O1293" s="459"/>
      <c r="P1293" s="4"/>
    </row>
    <row r="1294" spans="3:16">
      <c r="C1294" s="449">
        <f>IF(D1254="","-",+C1293+1)</f>
        <v>2050</v>
      </c>
      <c r="D1294" s="856">
        <f t="shared" si="84"/>
        <v>108588.39538461575</v>
      </c>
      <c r="E1294" s="857">
        <f t="shared" si="85"/>
        <v>18098.065897435899</v>
      </c>
      <c r="F1294" s="856">
        <f t="shared" si="86"/>
        <v>90490.329487179857</v>
      </c>
      <c r="G1294" s="858">
        <f t="shared" si="87"/>
        <v>29237.136754938751</v>
      </c>
      <c r="H1294" s="859">
        <f t="shared" si="88"/>
        <v>29237.136754938751</v>
      </c>
      <c r="I1294" s="453">
        <f t="shared" si="83"/>
        <v>0</v>
      </c>
      <c r="J1294" s="453"/>
      <c r="K1294" s="566"/>
      <c r="L1294" s="459"/>
      <c r="M1294" s="566"/>
      <c r="N1294" s="459"/>
      <c r="O1294" s="459"/>
      <c r="P1294" s="4"/>
    </row>
    <row r="1295" spans="3:16">
      <c r="C1295" s="449">
        <f>IF(D1254="","-",+C1294+1)</f>
        <v>2051</v>
      </c>
      <c r="D1295" s="856">
        <f t="shared" si="84"/>
        <v>90490.329487179857</v>
      </c>
      <c r="E1295" s="857">
        <f t="shared" si="85"/>
        <v>18098.065897435899</v>
      </c>
      <c r="F1295" s="856">
        <f t="shared" si="86"/>
        <v>72392.263589743961</v>
      </c>
      <c r="G1295" s="858">
        <f t="shared" si="87"/>
        <v>27211.851144483695</v>
      </c>
      <c r="H1295" s="859">
        <f t="shared" si="88"/>
        <v>27211.851144483695</v>
      </c>
      <c r="I1295" s="453">
        <f t="shared" si="83"/>
        <v>0</v>
      </c>
      <c r="J1295" s="453"/>
      <c r="K1295" s="566"/>
      <c r="L1295" s="459"/>
      <c r="M1295" s="566"/>
      <c r="N1295" s="459"/>
      <c r="O1295" s="459"/>
      <c r="P1295" s="4"/>
    </row>
    <row r="1296" spans="3:16">
      <c r="C1296" s="449">
        <f>IF(D1254="","-",+C1295+1)</f>
        <v>2052</v>
      </c>
      <c r="D1296" s="856">
        <f t="shared" si="84"/>
        <v>72392.263589743961</v>
      </c>
      <c r="E1296" s="857">
        <f t="shared" si="85"/>
        <v>18098.065897435899</v>
      </c>
      <c r="F1296" s="856">
        <f t="shared" si="86"/>
        <v>54294.197692308066</v>
      </c>
      <c r="G1296" s="858">
        <f t="shared" si="87"/>
        <v>25186.565534028639</v>
      </c>
      <c r="H1296" s="859">
        <f t="shared" si="88"/>
        <v>25186.565534028639</v>
      </c>
      <c r="I1296" s="453">
        <f t="shared" si="83"/>
        <v>0</v>
      </c>
      <c r="J1296" s="453"/>
      <c r="K1296" s="566"/>
      <c r="L1296" s="459"/>
      <c r="M1296" s="566"/>
      <c r="N1296" s="459"/>
      <c r="O1296" s="459"/>
      <c r="P1296" s="4"/>
    </row>
    <row r="1297" spans="3:16">
      <c r="C1297" s="449">
        <f>IF(D1254="","-",+C1296+1)</f>
        <v>2053</v>
      </c>
      <c r="D1297" s="856">
        <f t="shared" si="84"/>
        <v>54294.197692308066</v>
      </c>
      <c r="E1297" s="857">
        <f t="shared" si="85"/>
        <v>18098.065897435899</v>
      </c>
      <c r="F1297" s="856">
        <f t="shared" si="86"/>
        <v>36196.13179487217</v>
      </c>
      <c r="G1297" s="858">
        <f t="shared" si="87"/>
        <v>23161.27992357358</v>
      </c>
      <c r="H1297" s="859">
        <f t="shared" si="88"/>
        <v>23161.27992357358</v>
      </c>
      <c r="I1297" s="453">
        <f t="shared" si="83"/>
        <v>0</v>
      </c>
      <c r="J1297" s="453"/>
      <c r="K1297" s="566"/>
      <c r="L1297" s="459"/>
      <c r="M1297" s="566"/>
      <c r="N1297" s="459"/>
      <c r="O1297" s="459"/>
      <c r="P1297" s="4"/>
    </row>
    <row r="1298" spans="3:16">
      <c r="C1298" s="449">
        <f>IF(D1254="","-",+C1297+1)</f>
        <v>2054</v>
      </c>
      <c r="D1298" s="856">
        <f t="shared" si="84"/>
        <v>36196.13179487217</v>
      </c>
      <c r="E1298" s="857">
        <f t="shared" si="85"/>
        <v>18098.065897435899</v>
      </c>
      <c r="F1298" s="856">
        <f t="shared" si="86"/>
        <v>18098.06589743627</v>
      </c>
      <c r="G1298" s="858">
        <f t="shared" si="87"/>
        <v>21135.994313118525</v>
      </c>
      <c r="H1298" s="859">
        <f t="shared" si="88"/>
        <v>21135.994313118525</v>
      </c>
      <c r="I1298" s="453">
        <f t="shared" si="83"/>
        <v>0</v>
      </c>
      <c r="J1298" s="453"/>
      <c r="K1298" s="566"/>
      <c r="L1298" s="459"/>
      <c r="M1298" s="566"/>
      <c r="N1298" s="459"/>
      <c r="O1298" s="459"/>
      <c r="P1298" s="4"/>
    </row>
    <row r="1299" spans="3:16">
      <c r="C1299" s="449">
        <f>IF(D1254="","-",+C1298+1)</f>
        <v>2055</v>
      </c>
      <c r="D1299" s="856">
        <f t="shared" si="84"/>
        <v>18098.06589743627</v>
      </c>
      <c r="E1299" s="857">
        <f t="shared" si="85"/>
        <v>18098.065897435899</v>
      </c>
      <c r="F1299" s="856">
        <f t="shared" si="86"/>
        <v>3.7107383832335472E-10</v>
      </c>
      <c r="G1299" s="858">
        <f t="shared" si="87"/>
        <v>19110.708702663469</v>
      </c>
      <c r="H1299" s="859">
        <f t="shared" si="88"/>
        <v>19110.708702663469</v>
      </c>
      <c r="I1299" s="453">
        <f t="shared" si="83"/>
        <v>0</v>
      </c>
      <c r="J1299" s="453"/>
      <c r="K1299" s="566"/>
      <c r="L1299" s="459"/>
      <c r="M1299" s="566"/>
      <c r="N1299" s="459"/>
      <c r="O1299" s="459"/>
      <c r="P1299" s="4"/>
    </row>
    <row r="1300" spans="3:16">
      <c r="C1300" s="449">
        <f>IF(D1254="","-",+C1299+1)</f>
        <v>2056</v>
      </c>
      <c r="D1300" s="856">
        <f t="shared" si="84"/>
        <v>3.7107383832335472E-10</v>
      </c>
      <c r="E1300" s="857">
        <f t="shared" si="85"/>
        <v>3.7107383832335472E-10</v>
      </c>
      <c r="F1300" s="856">
        <f t="shared" si="86"/>
        <v>0</v>
      </c>
      <c r="G1300" s="858">
        <f t="shared" si="87"/>
        <v>3.9183656814850947E-10</v>
      </c>
      <c r="H1300" s="859">
        <f t="shared" si="88"/>
        <v>3.9183656814850947E-10</v>
      </c>
      <c r="I1300" s="453">
        <f t="shared" si="83"/>
        <v>0</v>
      </c>
      <c r="J1300" s="453"/>
      <c r="K1300" s="566"/>
      <c r="L1300" s="459"/>
      <c r="M1300" s="566"/>
      <c r="N1300" s="459"/>
      <c r="O1300" s="459"/>
      <c r="P1300" s="4"/>
    </row>
    <row r="1301" spans="3:16">
      <c r="C1301" s="449">
        <f>IF(D1254="","-",+C1300+1)</f>
        <v>2057</v>
      </c>
      <c r="D1301" s="856">
        <f t="shared" si="84"/>
        <v>0</v>
      </c>
      <c r="E1301" s="857">
        <f t="shared" si="85"/>
        <v>0</v>
      </c>
      <c r="F1301" s="856">
        <f t="shared" si="86"/>
        <v>0</v>
      </c>
      <c r="G1301" s="858">
        <f t="shared" si="87"/>
        <v>0</v>
      </c>
      <c r="H1301" s="859">
        <f t="shared" si="88"/>
        <v>0</v>
      </c>
      <c r="I1301" s="453">
        <f t="shared" si="83"/>
        <v>0</v>
      </c>
      <c r="J1301" s="453"/>
      <c r="K1301" s="566"/>
      <c r="L1301" s="459"/>
      <c r="M1301" s="566"/>
      <c r="N1301" s="459"/>
      <c r="O1301" s="459"/>
      <c r="P1301" s="4"/>
    </row>
    <row r="1302" spans="3:16">
      <c r="C1302" s="449">
        <f>IF(D1254="","-",+C1301+1)</f>
        <v>2058</v>
      </c>
      <c r="D1302" s="856">
        <f t="shared" si="84"/>
        <v>0</v>
      </c>
      <c r="E1302" s="857">
        <f t="shared" si="85"/>
        <v>0</v>
      </c>
      <c r="F1302" s="856">
        <f t="shared" si="86"/>
        <v>0</v>
      </c>
      <c r="G1302" s="858">
        <f t="shared" si="87"/>
        <v>0</v>
      </c>
      <c r="H1302" s="859">
        <f t="shared" si="88"/>
        <v>0</v>
      </c>
      <c r="I1302" s="453">
        <f t="shared" si="83"/>
        <v>0</v>
      </c>
      <c r="J1302" s="453"/>
      <c r="K1302" s="566"/>
      <c r="L1302" s="459"/>
      <c r="M1302" s="566"/>
      <c r="N1302" s="459"/>
      <c r="O1302" s="459"/>
      <c r="P1302" s="4"/>
    </row>
    <row r="1303" spans="3:16">
      <c r="C1303" s="449">
        <f>IF(D1254="","-",+C1302+1)</f>
        <v>2059</v>
      </c>
      <c r="D1303" s="856">
        <f t="shared" si="84"/>
        <v>0</v>
      </c>
      <c r="E1303" s="857">
        <f t="shared" si="85"/>
        <v>0</v>
      </c>
      <c r="F1303" s="856">
        <f t="shared" si="86"/>
        <v>0</v>
      </c>
      <c r="G1303" s="858">
        <f t="shared" si="87"/>
        <v>0</v>
      </c>
      <c r="H1303" s="859">
        <f t="shared" si="88"/>
        <v>0</v>
      </c>
      <c r="I1303" s="453">
        <f t="shared" si="83"/>
        <v>0</v>
      </c>
      <c r="J1303" s="453"/>
      <c r="K1303" s="566"/>
      <c r="L1303" s="459"/>
      <c r="M1303" s="566"/>
      <c r="N1303" s="459"/>
      <c r="O1303" s="459"/>
      <c r="P1303" s="4"/>
    </row>
    <row r="1304" spans="3:16">
      <c r="C1304" s="449">
        <f>IF(D1254="","-",+C1303+1)</f>
        <v>2060</v>
      </c>
      <c r="D1304" s="856">
        <f t="shared" si="84"/>
        <v>0</v>
      </c>
      <c r="E1304" s="857">
        <f t="shared" si="85"/>
        <v>0</v>
      </c>
      <c r="F1304" s="856">
        <f t="shared" si="86"/>
        <v>0</v>
      </c>
      <c r="G1304" s="858">
        <f t="shared" si="87"/>
        <v>0</v>
      </c>
      <c r="H1304" s="859">
        <f t="shared" si="88"/>
        <v>0</v>
      </c>
      <c r="I1304" s="453">
        <f t="shared" si="83"/>
        <v>0</v>
      </c>
      <c r="J1304" s="453"/>
      <c r="K1304" s="566"/>
      <c r="L1304" s="459"/>
      <c r="M1304" s="566"/>
      <c r="N1304" s="459"/>
      <c r="O1304" s="459"/>
      <c r="P1304" s="4"/>
    </row>
    <row r="1305" spans="3:16">
      <c r="C1305" s="449">
        <f>IF(D1254="","-",+C1304+1)</f>
        <v>2061</v>
      </c>
      <c r="D1305" s="856">
        <f t="shared" si="84"/>
        <v>0</v>
      </c>
      <c r="E1305" s="857">
        <f t="shared" si="85"/>
        <v>0</v>
      </c>
      <c r="F1305" s="856">
        <f t="shared" si="86"/>
        <v>0</v>
      </c>
      <c r="G1305" s="858">
        <f t="shared" si="87"/>
        <v>0</v>
      </c>
      <c r="H1305" s="859">
        <f t="shared" si="88"/>
        <v>0</v>
      </c>
      <c r="I1305" s="453">
        <f t="shared" si="83"/>
        <v>0</v>
      </c>
      <c r="J1305" s="453"/>
      <c r="K1305" s="566"/>
      <c r="L1305" s="459"/>
      <c r="M1305" s="566"/>
      <c r="N1305" s="459"/>
      <c r="O1305" s="459"/>
      <c r="P1305" s="4"/>
    </row>
    <row r="1306" spans="3:16">
      <c r="C1306" s="449">
        <f>IF(D1254="","-",+C1305+1)</f>
        <v>2062</v>
      </c>
      <c r="D1306" s="856">
        <f t="shared" si="84"/>
        <v>0</v>
      </c>
      <c r="E1306" s="857">
        <f t="shared" si="85"/>
        <v>0</v>
      </c>
      <c r="F1306" s="856">
        <f t="shared" si="86"/>
        <v>0</v>
      </c>
      <c r="G1306" s="858">
        <f t="shared" si="87"/>
        <v>0</v>
      </c>
      <c r="H1306" s="859">
        <f t="shared" si="88"/>
        <v>0</v>
      </c>
      <c r="I1306" s="453">
        <f t="shared" si="83"/>
        <v>0</v>
      </c>
      <c r="J1306" s="453"/>
      <c r="K1306" s="566"/>
      <c r="L1306" s="459"/>
      <c r="M1306" s="566"/>
      <c r="N1306" s="459"/>
      <c r="O1306" s="459"/>
      <c r="P1306" s="4"/>
    </row>
    <row r="1307" spans="3:16">
      <c r="C1307" s="449">
        <f>IF(D1254="","-",+C1306+1)</f>
        <v>2063</v>
      </c>
      <c r="D1307" s="856">
        <f t="shared" si="84"/>
        <v>0</v>
      </c>
      <c r="E1307" s="857">
        <f t="shared" si="85"/>
        <v>0</v>
      </c>
      <c r="F1307" s="856">
        <f t="shared" si="86"/>
        <v>0</v>
      </c>
      <c r="G1307" s="858">
        <f t="shared" si="87"/>
        <v>0</v>
      </c>
      <c r="H1307" s="859">
        <f t="shared" si="88"/>
        <v>0</v>
      </c>
      <c r="I1307" s="453">
        <f t="shared" si="83"/>
        <v>0</v>
      </c>
      <c r="J1307" s="453"/>
      <c r="K1307" s="566"/>
      <c r="L1307" s="459"/>
      <c r="M1307" s="566"/>
      <c r="N1307" s="459"/>
      <c r="O1307" s="459"/>
      <c r="P1307" s="4"/>
    </row>
    <row r="1308" spans="3:16">
      <c r="C1308" s="449">
        <f>IF(D1254="","-",+C1307+1)</f>
        <v>2064</v>
      </c>
      <c r="D1308" s="856">
        <f t="shared" si="84"/>
        <v>0</v>
      </c>
      <c r="E1308" s="857">
        <f t="shared" si="85"/>
        <v>0</v>
      </c>
      <c r="F1308" s="856">
        <f t="shared" si="86"/>
        <v>0</v>
      </c>
      <c r="G1308" s="858">
        <f t="shared" si="87"/>
        <v>0</v>
      </c>
      <c r="H1308" s="859">
        <f t="shared" si="88"/>
        <v>0</v>
      </c>
      <c r="I1308" s="453">
        <f t="shared" si="83"/>
        <v>0</v>
      </c>
      <c r="J1308" s="453"/>
      <c r="K1308" s="566"/>
      <c r="L1308" s="459"/>
      <c r="M1308" s="566"/>
      <c r="N1308" s="459"/>
      <c r="O1308" s="459"/>
      <c r="P1308" s="4"/>
    </row>
    <row r="1309" spans="3:16">
      <c r="C1309" s="449">
        <f>IF(D1254="","-",+C1308+1)</f>
        <v>2065</v>
      </c>
      <c r="D1309" s="856">
        <f t="shared" si="84"/>
        <v>0</v>
      </c>
      <c r="E1309" s="857">
        <f t="shared" si="85"/>
        <v>0</v>
      </c>
      <c r="F1309" s="856">
        <f t="shared" si="86"/>
        <v>0</v>
      </c>
      <c r="G1309" s="858">
        <f t="shared" si="87"/>
        <v>0</v>
      </c>
      <c r="H1309" s="859">
        <f t="shared" si="88"/>
        <v>0</v>
      </c>
      <c r="I1309" s="453">
        <f t="shared" si="83"/>
        <v>0</v>
      </c>
      <c r="J1309" s="453"/>
      <c r="K1309" s="566"/>
      <c r="L1309" s="459"/>
      <c r="M1309" s="566"/>
      <c r="N1309" s="459"/>
      <c r="O1309" s="459"/>
      <c r="P1309" s="4"/>
    </row>
    <row r="1310" spans="3:16">
      <c r="C1310" s="449">
        <f>IF(D1254="","-",+C1309+1)</f>
        <v>2066</v>
      </c>
      <c r="D1310" s="856">
        <f t="shared" si="84"/>
        <v>0</v>
      </c>
      <c r="E1310" s="857">
        <f t="shared" si="85"/>
        <v>0</v>
      </c>
      <c r="F1310" s="856">
        <f t="shared" si="86"/>
        <v>0</v>
      </c>
      <c r="G1310" s="858">
        <f t="shared" si="87"/>
        <v>0</v>
      </c>
      <c r="H1310" s="859">
        <f t="shared" si="88"/>
        <v>0</v>
      </c>
      <c r="I1310" s="453">
        <f t="shared" si="83"/>
        <v>0</v>
      </c>
      <c r="J1310" s="453"/>
      <c r="K1310" s="566"/>
      <c r="L1310" s="459"/>
      <c r="M1310" s="566"/>
      <c r="N1310" s="459"/>
      <c r="O1310" s="459"/>
      <c r="P1310" s="4"/>
    </row>
    <row r="1311" spans="3:16">
      <c r="C1311" s="449">
        <f>IF(D1254="","-",+C1310+1)</f>
        <v>2067</v>
      </c>
      <c r="D1311" s="856">
        <f t="shared" si="84"/>
        <v>0</v>
      </c>
      <c r="E1311" s="857">
        <f t="shared" si="85"/>
        <v>0</v>
      </c>
      <c r="F1311" s="856">
        <f t="shared" si="86"/>
        <v>0</v>
      </c>
      <c r="G1311" s="858">
        <f t="shared" si="87"/>
        <v>0</v>
      </c>
      <c r="H1311" s="859">
        <f t="shared" si="88"/>
        <v>0</v>
      </c>
      <c r="I1311" s="453">
        <f t="shared" si="83"/>
        <v>0</v>
      </c>
      <c r="J1311" s="453"/>
      <c r="K1311" s="566"/>
      <c r="L1311" s="459"/>
      <c r="M1311" s="566"/>
      <c r="N1311" s="459"/>
      <c r="O1311" s="459"/>
      <c r="P1311" s="4"/>
    </row>
    <row r="1312" spans="3:16">
      <c r="C1312" s="449">
        <f>IF(D1254="","-",+C1311+1)</f>
        <v>2068</v>
      </c>
      <c r="D1312" s="856">
        <f t="shared" si="84"/>
        <v>0</v>
      </c>
      <c r="E1312" s="857">
        <f t="shared" si="85"/>
        <v>0</v>
      </c>
      <c r="F1312" s="856">
        <f t="shared" si="86"/>
        <v>0</v>
      </c>
      <c r="G1312" s="858">
        <f t="shared" si="87"/>
        <v>0</v>
      </c>
      <c r="H1312" s="859">
        <f t="shared" si="88"/>
        <v>0</v>
      </c>
      <c r="I1312" s="453">
        <f t="shared" si="83"/>
        <v>0</v>
      </c>
      <c r="J1312" s="453"/>
      <c r="K1312" s="566"/>
      <c r="L1312" s="459"/>
      <c r="M1312" s="566"/>
      <c r="N1312" s="459"/>
      <c r="O1312" s="459"/>
      <c r="P1312" s="4"/>
    </row>
    <row r="1313" spans="3:16">
      <c r="C1313" s="449">
        <f>IF(D1254="","-",+C1312+1)</f>
        <v>2069</v>
      </c>
      <c r="D1313" s="856">
        <f t="shared" si="84"/>
        <v>0</v>
      </c>
      <c r="E1313" s="857">
        <f t="shared" si="85"/>
        <v>0</v>
      </c>
      <c r="F1313" s="856">
        <f t="shared" si="86"/>
        <v>0</v>
      </c>
      <c r="G1313" s="858">
        <f t="shared" si="87"/>
        <v>0</v>
      </c>
      <c r="H1313" s="859">
        <f t="shared" si="88"/>
        <v>0</v>
      </c>
      <c r="I1313" s="453">
        <f t="shared" si="83"/>
        <v>0</v>
      </c>
      <c r="J1313" s="453"/>
      <c r="K1313" s="566"/>
      <c r="L1313" s="459"/>
      <c r="M1313" s="566"/>
      <c r="N1313" s="459"/>
      <c r="O1313" s="459"/>
      <c r="P1313" s="4"/>
    </row>
    <row r="1314" spans="3:16">
      <c r="C1314" s="449">
        <f>IF(D1254="","-",+C1313+1)</f>
        <v>2070</v>
      </c>
      <c r="D1314" s="856">
        <f t="shared" si="84"/>
        <v>0</v>
      </c>
      <c r="E1314" s="857">
        <f t="shared" si="85"/>
        <v>0</v>
      </c>
      <c r="F1314" s="856">
        <f t="shared" si="86"/>
        <v>0</v>
      </c>
      <c r="G1314" s="858">
        <f t="shared" si="87"/>
        <v>0</v>
      </c>
      <c r="H1314" s="859">
        <f t="shared" si="88"/>
        <v>0</v>
      </c>
      <c r="I1314" s="453">
        <f t="shared" si="83"/>
        <v>0</v>
      </c>
      <c r="J1314" s="453"/>
      <c r="K1314" s="566"/>
      <c r="L1314" s="459"/>
      <c r="M1314" s="566"/>
      <c r="N1314" s="459"/>
      <c r="O1314" s="459"/>
      <c r="P1314" s="4"/>
    </row>
    <row r="1315" spans="3:16">
      <c r="C1315" s="449">
        <f>IF(D1254="","-",+C1314+1)</f>
        <v>2071</v>
      </c>
      <c r="D1315" s="856">
        <f t="shared" si="84"/>
        <v>0</v>
      </c>
      <c r="E1315" s="857">
        <f t="shared" si="85"/>
        <v>0</v>
      </c>
      <c r="F1315" s="856">
        <f t="shared" si="86"/>
        <v>0</v>
      </c>
      <c r="G1315" s="858">
        <f t="shared" si="87"/>
        <v>0</v>
      </c>
      <c r="H1315" s="859">
        <f t="shared" si="88"/>
        <v>0</v>
      </c>
      <c r="I1315" s="453">
        <f t="shared" si="83"/>
        <v>0</v>
      </c>
      <c r="J1315" s="453"/>
      <c r="K1315" s="566"/>
      <c r="L1315" s="459"/>
      <c r="M1315" s="566"/>
      <c r="N1315" s="459"/>
      <c r="O1315" s="459"/>
      <c r="P1315" s="4"/>
    </row>
    <row r="1316" spans="3:16">
      <c r="C1316" s="449">
        <f>IF(D1254="","-",+C1315+1)</f>
        <v>2072</v>
      </c>
      <c r="D1316" s="856">
        <f t="shared" si="84"/>
        <v>0</v>
      </c>
      <c r="E1316" s="857">
        <f t="shared" si="85"/>
        <v>0</v>
      </c>
      <c r="F1316" s="856">
        <f t="shared" si="86"/>
        <v>0</v>
      </c>
      <c r="G1316" s="858">
        <f t="shared" si="87"/>
        <v>0</v>
      </c>
      <c r="H1316" s="859">
        <f t="shared" si="88"/>
        <v>0</v>
      </c>
      <c r="I1316" s="453">
        <f t="shared" si="83"/>
        <v>0</v>
      </c>
      <c r="J1316" s="453"/>
      <c r="K1316" s="566"/>
      <c r="L1316" s="459"/>
      <c r="M1316" s="566"/>
      <c r="N1316" s="459"/>
      <c r="O1316" s="459"/>
      <c r="P1316" s="4"/>
    </row>
    <row r="1317" spans="3:16">
      <c r="C1317" s="449">
        <f>IF(D1254="","-",+C1316+1)</f>
        <v>2073</v>
      </c>
      <c r="D1317" s="856">
        <f t="shared" si="84"/>
        <v>0</v>
      </c>
      <c r="E1317" s="857">
        <f t="shared" si="85"/>
        <v>0</v>
      </c>
      <c r="F1317" s="856">
        <f t="shared" si="86"/>
        <v>0</v>
      </c>
      <c r="G1317" s="858">
        <f t="shared" si="87"/>
        <v>0</v>
      </c>
      <c r="H1317" s="859">
        <f t="shared" si="88"/>
        <v>0</v>
      </c>
      <c r="I1317" s="453">
        <f t="shared" si="83"/>
        <v>0</v>
      </c>
      <c r="J1317" s="453"/>
      <c r="K1317" s="566"/>
      <c r="L1317" s="459"/>
      <c r="M1317" s="566"/>
      <c r="N1317" s="459"/>
      <c r="O1317" s="459"/>
      <c r="P1317" s="4"/>
    </row>
    <row r="1318" spans="3:16">
      <c r="C1318" s="449">
        <f>IF(D1254="","-",+C1317+1)</f>
        <v>2074</v>
      </c>
      <c r="D1318" s="856">
        <f t="shared" si="84"/>
        <v>0</v>
      </c>
      <c r="E1318" s="857">
        <f t="shared" si="85"/>
        <v>0</v>
      </c>
      <c r="F1318" s="856">
        <f t="shared" si="86"/>
        <v>0</v>
      </c>
      <c r="G1318" s="858">
        <f t="shared" si="87"/>
        <v>0</v>
      </c>
      <c r="H1318" s="859">
        <f t="shared" si="88"/>
        <v>0</v>
      </c>
      <c r="I1318" s="453">
        <f t="shared" si="83"/>
        <v>0</v>
      </c>
      <c r="J1318" s="453"/>
      <c r="K1318" s="566"/>
      <c r="L1318" s="459"/>
      <c r="M1318" s="566"/>
      <c r="N1318" s="459"/>
      <c r="O1318" s="459"/>
      <c r="P1318" s="4"/>
    </row>
    <row r="1319" spans="3:16" ht="13.5" thickBot="1">
      <c r="C1319" s="461">
        <f>IF(D1254="","-",+C1318+1)</f>
        <v>2075</v>
      </c>
      <c r="D1319" s="887">
        <f t="shared" si="84"/>
        <v>0</v>
      </c>
      <c r="E1319" s="880">
        <f t="shared" si="85"/>
        <v>0</v>
      </c>
      <c r="F1319" s="888">
        <f t="shared" si="86"/>
        <v>0</v>
      </c>
      <c r="G1319" s="884">
        <f t="shared" si="87"/>
        <v>0</v>
      </c>
      <c r="H1319" s="885">
        <f t="shared" si="88"/>
        <v>0</v>
      </c>
      <c r="I1319" s="465">
        <f t="shared" si="83"/>
        <v>0</v>
      </c>
      <c r="J1319" s="453"/>
      <c r="K1319" s="567"/>
      <c r="L1319" s="467"/>
      <c r="M1319" s="567"/>
      <c r="N1319" s="467"/>
      <c r="O1319" s="467"/>
      <c r="P1319" s="4"/>
    </row>
    <row r="1320" spans="3:16">
      <c r="C1320" s="412" t="s">
        <v>288</v>
      </c>
      <c r="D1320" s="832"/>
      <c r="E1320" s="832">
        <f>SUM(E1260:E1319)</f>
        <v>705824.57000000007</v>
      </c>
      <c r="F1320" s="832"/>
      <c r="G1320" s="832">
        <f>SUM(G1260:G1319)</f>
        <v>2325040.4155588201</v>
      </c>
      <c r="H1320" s="832">
        <f>SUM(H1260:H1319)</f>
        <v>2325040.4155588201</v>
      </c>
      <c r="I1320" s="832">
        <f>SUM(I1260:I1319)</f>
        <v>0</v>
      </c>
      <c r="J1320" s="832"/>
      <c r="K1320" s="832"/>
      <c r="L1320" s="832"/>
      <c r="M1320" s="832"/>
      <c r="N1320" s="832"/>
      <c r="O1320" s="4"/>
      <c r="P1320" s="4"/>
    </row>
    <row r="1321" spans="3:16">
      <c r="D1321" s="67"/>
      <c r="E1321" s="4"/>
      <c r="F1321" s="4"/>
      <c r="G1321" s="4"/>
      <c r="H1321" s="831"/>
      <c r="I1321" s="831"/>
      <c r="J1321" s="832"/>
      <c r="K1321" s="831"/>
      <c r="L1321" s="831"/>
      <c r="M1321" s="831"/>
      <c r="N1321" s="831"/>
      <c r="O1321" s="4"/>
      <c r="P1321" s="4"/>
    </row>
    <row r="1322" spans="3:16">
      <c r="C1322" s="4" t="s">
        <v>601</v>
      </c>
      <c r="D1322" s="67"/>
      <c r="E1322" s="4"/>
      <c r="F1322" s="4"/>
      <c r="G1322" s="4"/>
      <c r="H1322" s="831"/>
      <c r="I1322" s="831"/>
      <c r="J1322" s="832"/>
      <c r="K1322" s="831"/>
      <c r="L1322" s="831"/>
      <c r="M1322" s="831"/>
      <c r="N1322" s="831"/>
      <c r="O1322" s="4"/>
      <c r="P1322" s="4"/>
    </row>
    <row r="1323" spans="3:16">
      <c r="D1323" s="67"/>
      <c r="E1323" s="4"/>
      <c r="F1323" s="4"/>
      <c r="G1323" s="4"/>
      <c r="H1323" s="831"/>
      <c r="I1323" s="831"/>
      <c r="J1323" s="832"/>
      <c r="K1323" s="831"/>
      <c r="L1323" s="831"/>
      <c r="M1323" s="831"/>
      <c r="N1323" s="831"/>
      <c r="O1323" s="4"/>
      <c r="P1323" s="4"/>
    </row>
    <row r="1324" spans="3:16">
      <c r="C1324" s="4" t="s">
        <v>602</v>
      </c>
      <c r="D1324" s="412"/>
      <c r="E1324" s="412"/>
      <c r="F1324" s="412"/>
      <c r="G1324" s="832"/>
      <c r="H1324" s="832"/>
      <c r="I1324" s="414"/>
      <c r="J1324" s="414"/>
      <c r="K1324" s="414"/>
      <c r="L1324" s="414"/>
      <c r="M1324" s="414"/>
      <c r="N1324" s="414"/>
      <c r="O1324" s="4"/>
      <c r="P1324" s="4"/>
    </row>
    <row r="1325" spans="3:16">
      <c r="C1325" s="4" t="s">
        <v>476</v>
      </c>
      <c r="D1325" s="412"/>
      <c r="E1325" s="412"/>
      <c r="F1325" s="412"/>
      <c r="G1325" s="832"/>
      <c r="H1325" s="832"/>
      <c r="I1325" s="414"/>
      <c r="J1325" s="414"/>
      <c r="K1325" s="414"/>
      <c r="L1325" s="414"/>
      <c r="M1325" s="414"/>
      <c r="N1325" s="414"/>
      <c r="O1325" s="4"/>
      <c r="P1325" s="4"/>
    </row>
    <row r="1326" spans="3:16">
      <c r="C1326" s="4" t="s">
        <v>289</v>
      </c>
      <c r="D1326" s="412"/>
      <c r="E1326" s="412"/>
      <c r="F1326" s="412"/>
      <c r="G1326" s="832"/>
      <c r="H1326" s="832"/>
      <c r="I1326" s="414"/>
      <c r="J1326" s="414"/>
      <c r="K1326" s="414"/>
      <c r="L1326" s="414"/>
      <c r="M1326" s="414"/>
      <c r="N1326" s="414"/>
      <c r="O1326" s="4"/>
      <c r="P1326" s="4"/>
    </row>
    <row r="1327" spans="3:16">
      <c r="C1327" s="413"/>
      <c r="D1327" s="412"/>
      <c r="E1327" s="412"/>
      <c r="F1327" s="412"/>
      <c r="G1327" s="832"/>
      <c r="H1327" s="832"/>
      <c r="I1327" s="414"/>
      <c r="J1327" s="414"/>
      <c r="K1327" s="414"/>
      <c r="L1327" s="414"/>
      <c r="M1327" s="414"/>
      <c r="N1327" s="414"/>
      <c r="O1327" s="4"/>
      <c r="P1327" s="4"/>
    </row>
    <row r="1328" spans="3:16">
      <c r="C1328" s="1279" t="s">
        <v>460</v>
      </c>
      <c r="D1328" s="1279"/>
      <c r="E1328" s="1279"/>
      <c r="F1328" s="1279"/>
      <c r="G1328" s="1279"/>
      <c r="H1328" s="1279"/>
      <c r="I1328" s="1279"/>
      <c r="J1328" s="1279"/>
      <c r="K1328" s="1279"/>
      <c r="L1328" s="1279"/>
      <c r="M1328" s="1279"/>
      <c r="N1328" s="1279"/>
      <c r="O1328" s="1279"/>
      <c r="P1328" s="4"/>
    </row>
    <row r="1329" spans="1:16">
      <c r="C1329" s="1279"/>
      <c r="D1329" s="1279"/>
      <c r="E1329" s="1279"/>
      <c r="F1329" s="1279"/>
      <c r="G1329" s="1279"/>
      <c r="H1329" s="1279"/>
      <c r="I1329" s="1279"/>
      <c r="J1329" s="1279"/>
      <c r="K1329" s="1279"/>
      <c r="L1329" s="1279"/>
      <c r="M1329" s="1279"/>
      <c r="N1329" s="1279"/>
      <c r="O1329" s="1279"/>
      <c r="P1329" s="4"/>
    </row>
    <row r="1330" spans="1:16" ht="20.25">
      <c r="A1330" s="352" t="s">
        <v>929</v>
      </c>
      <c r="B1330" s="4"/>
      <c r="C1330" s="4"/>
      <c r="D1330" s="67"/>
      <c r="E1330" s="4"/>
      <c r="F1330" s="394"/>
      <c r="G1330" s="4"/>
      <c r="H1330" s="831"/>
      <c r="K1330" s="353"/>
      <c r="L1330" s="353"/>
      <c r="M1330" s="353"/>
      <c r="N1330" s="353" t="str">
        <f>"Page "&amp;SUM(P$6:P1330)&amp;" of "</f>
        <v xml:space="preserve">Page 16 of </v>
      </c>
      <c r="O1330" s="354">
        <f>COUNT(P$6:P$59606)</f>
        <v>18</v>
      </c>
      <c r="P1330">
        <v>1</v>
      </c>
    </row>
    <row r="1331" spans="1:16" ht="12.75" customHeight="1">
      <c r="B1331" s="4"/>
      <c r="C1331" s="4"/>
      <c r="D1331" s="67"/>
      <c r="E1331" s="4"/>
      <c r="F1331" s="4"/>
      <c r="G1331" s="4"/>
      <c r="H1331" s="831"/>
      <c r="I1331" s="4"/>
      <c r="J1331" s="4"/>
      <c r="K1331" s="4"/>
      <c r="L1331" s="4"/>
      <c r="M1331" s="4"/>
      <c r="N1331" s="4"/>
      <c r="O1331" s="4"/>
    </row>
    <row r="1332" spans="1:16" ht="12.75" customHeight="1">
      <c r="B1332" s="355" t="s">
        <v>174</v>
      </c>
      <c r="C1332" s="415" t="s">
        <v>290</v>
      </c>
      <c r="D1332" s="67"/>
      <c r="E1332" s="4"/>
      <c r="F1332" s="4"/>
      <c r="G1332" s="4"/>
      <c r="H1332" s="831"/>
      <c r="I1332" s="831"/>
      <c r="J1332" s="832"/>
      <c r="K1332" s="831"/>
      <c r="L1332" s="831"/>
      <c r="M1332" s="831"/>
      <c r="N1332" s="831"/>
      <c r="O1332" s="4"/>
    </row>
    <row r="1333" spans="1:16" ht="12.75" customHeight="1">
      <c r="B1333" s="355"/>
      <c r="C1333" s="11"/>
      <c r="D1333" s="67"/>
      <c r="E1333" s="4"/>
      <c r="F1333" s="4"/>
      <c r="G1333" s="4"/>
      <c r="H1333" s="831"/>
      <c r="I1333" s="831"/>
      <c r="J1333" s="832"/>
      <c r="K1333" s="831"/>
      <c r="L1333" s="831"/>
      <c r="M1333" s="831"/>
      <c r="N1333" s="831"/>
      <c r="O1333" s="4"/>
    </row>
    <row r="1334" spans="1:16" ht="18.75">
      <c r="B1334" s="355"/>
      <c r="C1334" s="11" t="s">
        <v>291</v>
      </c>
      <c r="D1334" s="67"/>
      <c r="E1334" s="4"/>
      <c r="F1334" s="4"/>
      <c r="G1334" s="4"/>
      <c r="H1334" s="831"/>
      <c r="I1334" s="831"/>
      <c r="J1334" s="832"/>
      <c r="K1334" s="831"/>
      <c r="L1334" s="831"/>
      <c r="M1334" s="831"/>
      <c r="N1334" s="831"/>
      <c r="O1334" s="4"/>
    </row>
    <row r="1335" spans="1:16" ht="12.75" customHeight="1" thickBot="1">
      <c r="C1335" s="203"/>
      <c r="D1335" s="67"/>
      <c r="E1335" s="4"/>
      <c r="F1335" s="4"/>
      <c r="G1335" s="4"/>
      <c r="H1335" s="831"/>
      <c r="I1335" s="831"/>
      <c r="J1335" s="832"/>
      <c r="K1335" s="831"/>
      <c r="L1335" s="831"/>
      <c r="M1335" s="831"/>
      <c r="N1335" s="831"/>
      <c r="O1335" s="4"/>
    </row>
    <row r="1336" spans="1:16" ht="12.75" customHeight="1">
      <c r="C1336" s="356" t="s">
        <v>292</v>
      </c>
      <c r="D1336" s="67"/>
      <c r="E1336" s="4"/>
      <c r="F1336" s="4"/>
      <c r="G1336" s="833"/>
      <c r="H1336" s="4" t="s">
        <v>271</v>
      </c>
      <c r="I1336" s="4"/>
      <c r="J1336" s="4"/>
      <c r="K1336" s="416" t="s">
        <v>296</v>
      </c>
      <c r="L1336" s="417"/>
      <c r="M1336" s="418"/>
      <c r="N1336" s="834">
        <f>VLOOKUP(I1342,C1349:O1408,5)</f>
        <v>17679.242818542185</v>
      </c>
      <c r="O1336" s="4"/>
    </row>
    <row r="1337" spans="1:16" ht="12.75" customHeight="1">
      <c r="C1337" s="356"/>
      <c r="D1337" s="67"/>
      <c r="E1337" s="4"/>
      <c r="F1337" s="4"/>
      <c r="G1337" s="4"/>
      <c r="H1337" s="835"/>
      <c r="I1337" s="835"/>
      <c r="J1337" s="836"/>
      <c r="K1337" s="421" t="s">
        <v>297</v>
      </c>
      <c r="L1337" s="837"/>
      <c r="M1337" s="4"/>
      <c r="N1337" s="838">
        <f>VLOOKUP(I1342,C1349:O1408,6)</f>
        <v>17679.242818542185</v>
      </c>
      <c r="O1337" s="4"/>
    </row>
    <row r="1338" spans="1:16" ht="12.75" customHeight="1" thickBot="1">
      <c r="C1338" s="422" t="s">
        <v>293</v>
      </c>
      <c r="D1338" s="1277" t="s">
        <v>1052</v>
      </c>
      <c r="E1338" s="1277"/>
      <c r="F1338" s="1277"/>
      <c r="G1338" s="1277"/>
      <c r="H1338" s="1277"/>
      <c r="I1338" s="831"/>
      <c r="J1338" s="832"/>
      <c r="K1338" s="839" t="s">
        <v>450</v>
      </c>
      <c r="L1338" s="840"/>
      <c r="M1338" s="840"/>
      <c r="N1338" s="841">
        <f>+N1337-N1336</f>
        <v>0</v>
      </c>
      <c r="O1338" s="4"/>
    </row>
    <row r="1339" spans="1:16" ht="12.75" customHeight="1">
      <c r="C1339" s="424"/>
      <c r="D1339" s="425"/>
      <c r="E1339" s="412"/>
      <c r="F1339" s="412"/>
      <c r="G1339" s="426"/>
      <c r="H1339" s="831"/>
      <c r="I1339" s="831"/>
      <c r="J1339" s="832"/>
      <c r="K1339" s="831"/>
      <c r="L1339" s="831"/>
      <c r="M1339" s="831"/>
      <c r="N1339" s="831"/>
      <c r="O1339" s="4"/>
    </row>
    <row r="1340" spans="1:16" ht="12.75" customHeight="1" thickBot="1">
      <c r="C1340" s="424"/>
      <c r="D1340" s="4"/>
      <c r="E1340" s="426"/>
      <c r="F1340" s="426"/>
      <c r="G1340" s="426"/>
      <c r="H1340" s="426"/>
      <c r="I1340" s="426"/>
      <c r="J1340" s="426"/>
      <c r="K1340" s="426"/>
      <c r="L1340" s="426"/>
      <c r="M1340" s="426"/>
      <c r="N1340" s="426"/>
      <c r="O1340" s="4"/>
    </row>
    <row r="1341" spans="1:16" ht="12.75" customHeight="1" thickBot="1">
      <c r="C1341" s="427" t="s">
        <v>294</v>
      </c>
      <c r="D1341" s="428"/>
      <c r="E1341" s="428"/>
      <c r="F1341" s="428"/>
      <c r="G1341" s="428"/>
      <c r="H1341" s="428"/>
      <c r="I1341" s="429"/>
      <c r="K1341" s="4"/>
      <c r="L1341" s="4"/>
      <c r="M1341" s="4"/>
      <c r="N1341" s="4"/>
      <c r="O1341" s="4"/>
    </row>
    <row r="1342" spans="1:16" ht="12.75" customHeight="1">
      <c r="C1342" s="430" t="s">
        <v>272</v>
      </c>
      <c r="D1342" s="842">
        <v>151746.60999999999</v>
      </c>
      <c r="E1342" s="4" t="s">
        <v>273</v>
      </c>
      <c r="G1342" s="67"/>
      <c r="H1342" s="67"/>
      <c r="I1342" s="431">
        <f>$L$26</f>
        <v>2026</v>
      </c>
      <c r="J1342" s="114"/>
      <c r="K1342" s="1278" t="s">
        <v>459</v>
      </c>
      <c r="L1342" s="1278"/>
      <c r="M1342" s="1278"/>
      <c r="N1342" s="1278"/>
      <c r="O1342" s="1278"/>
    </row>
    <row r="1343" spans="1:16" ht="12.75" customHeight="1">
      <c r="C1343" s="430" t="s">
        <v>275</v>
      </c>
      <c r="D1343" s="879">
        <v>2019</v>
      </c>
      <c r="E1343" s="430" t="s">
        <v>276</v>
      </c>
      <c r="F1343" s="67"/>
      <c r="I1343" s="564">
        <f>IF(G1336="",0,$F$15)</f>
        <v>0</v>
      </c>
      <c r="J1343" s="432"/>
      <c r="K1343" s="832" t="s">
        <v>459</v>
      </c>
    </row>
    <row r="1344" spans="1:16" ht="12.75" customHeight="1">
      <c r="C1344" s="430" t="s">
        <v>277</v>
      </c>
      <c r="D1344" s="842">
        <v>2</v>
      </c>
      <c r="E1344" s="430" t="s">
        <v>278</v>
      </c>
      <c r="F1344" s="67"/>
      <c r="I1344" s="433">
        <f>$G$70</f>
        <v>0.1119061905251431</v>
      </c>
      <c r="J1344" s="394"/>
      <c r="K1344" t="str">
        <f>"          INPUT PROJECTED ARR (WITH &amp; WITHOUT INCENTIVES) FROM EACH PRIOR YEAR"</f>
        <v xml:space="preserve">          INPUT PROJECTED ARR (WITH &amp; WITHOUT INCENTIVES) FROM EACH PRIOR YEAR</v>
      </c>
    </row>
    <row r="1345" spans="1:15" ht="12.75" customHeight="1">
      <c r="C1345" s="430" t="s">
        <v>279</v>
      </c>
      <c r="D1345" s="434">
        <f>G$79</f>
        <v>39</v>
      </c>
      <c r="E1345" s="430" t="s">
        <v>280</v>
      </c>
      <c r="F1345" s="67"/>
      <c r="I1345" s="433">
        <f>IF(G1336="",I1344,$G$67)</f>
        <v>0.1119061905251431</v>
      </c>
      <c r="J1345" s="394"/>
      <c r="K1345" t="s">
        <v>357</v>
      </c>
    </row>
    <row r="1346" spans="1:15" ht="12.75" customHeight="1" thickBot="1">
      <c r="C1346" s="430" t="s">
        <v>281</v>
      </c>
      <c r="D1346" s="563" t="s">
        <v>931</v>
      </c>
      <c r="E1346" s="435" t="s">
        <v>282</v>
      </c>
      <c r="F1346" s="436"/>
      <c r="G1346" s="437"/>
      <c r="H1346" s="437"/>
      <c r="I1346" s="841">
        <f>IF(D1342=0,0,D1342/D1345)</f>
        <v>3890.9387179487176</v>
      </c>
      <c r="J1346" s="832"/>
      <c r="K1346" s="832" t="s">
        <v>363</v>
      </c>
      <c r="L1346" s="832"/>
      <c r="M1346" s="832"/>
      <c r="N1346" s="832"/>
      <c r="O1346" s="4"/>
    </row>
    <row r="1347" spans="1:15" ht="12.75" customHeight="1">
      <c r="A1347" s="322"/>
      <c r="B1347" s="322"/>
      <c r="C1347" s="438" t="s">
        <v>272</v>
      </c>
      <c r="D1347" s="844" t="s">
        <v>283</v>
      </c>
      <c r="E1347" s="845" t="s">
        <v>284</v>
      </c>
      <c r="F1347" s="844" t="s">
        <v>285</v>
      </c>
      <c r="G1347" s="845" t="s">
        <v>356</v>
      </c>
      <c r="H1347" s="846" t="s">
        <v>356</v>
      </c>
      <c r="I1347" s="438" t="s">
        <v>295</v>
      </c>
      <c r="J1347" s="442"/>
      <c r="K1347" s="845" t="s">
        <v>365</v>
      </c>
      <c r="L1347" s="847"/>
      <c r="M1347" s="845" t="s">
        <v>365</v>
      </c>
      <c r="N1347" s="847"/>
      <c r="O1347" s="847"/>
    </row>
    <row r="1348" spans="1:15" ht="12.75" customHeight="1" thickBot="1">
      <c r="C1348" s="444" t="s">
        <v>177</v>
      </c>
      <c r="D1348" s="445" t="s">
        <v>178</v>
      </c>
      <c r="E1348" s="444" t="s">
        <v>37</v>
      </c>
      <c r="F1348" s="445" t="s">
        <v>178</v>
      </c>
      <c r="G1348" s="848" t="s">
        <v>298</v>
      </c>
      <c r="H1348" s="849" t="s">
        <v>300</v>
      </c>
      <c r="I1348" s="444" t="s">
        <v>389</v>
      </c>
      <c r="J1348" s="448"/>
      <c r="K1348" s="848" t="s">
        <v>287</v>
      </c>
      <c r="L1348" s="850"/>
      <c r="M1348" s="848" t="s">
        <v>300</v>
      </c>
      <c r="N1348" s="850"/>
      <c r="O1348" s="850"/>
    </row>
    <row r="1349" spans="1:15" ht="12.75" customHeight="1">
      <c r="C1349" s="878">
        <f>IF(D1343= "","-",D1343)</f>
        <v>2019</v>
      </c>
      <c r="D1349" s="412">
        <f>+D1342</f>
        <v>151746.60999999999</v>
      </c>
      <c r="E1349" s="851">
        <f>+I1346/12*(12-D1344)</f>
        <v>3242.448931623931</v>
      </c>
      <c r="F1349" s="412">
        <f>+D1349-E1349</f>
        <v>148504.16106837607</v>
      </c>
      <c r="G1349" s="858">
        <f>+$I$1344*((D1349+F1349)/2)+E1349</f>
        <v>20042.408927873337</v>
      </c>
      <c r="H1349" s="859">
        <f>+$I$1345*((D1349+F1349)/2)+E1349</f>
        <v>20042.408927873337</v>
      </c>
      <c r="I1349" s="453">
        <f t="shared" ref="I1349:I1408" si="89">+H1349-G1349</f>
        <v>0</v>
      </c>
      <c r="J1349" s="453"/>
      <c r="K1349" s="566">
        <v>0</v>
      </c>
      <c r="L1349" s="455"/>
      <c r="M1349" s="566">
        <v>0</v>
      </c>
      <c r="N1349" s="455"/>
      <c r="O1349" s="455"/>
    </row>
    <row r="1350" spans="1:15" ht="12.75" customHeight="1">
      <c r="C1350" s="449">
        <f>IF(D1343="","-",+C1349+1)</f>
        <v>2020</v>
      </c>
      <c r="D1350" s="856">
        <f>F1349</f>
        <v>148504.16106837607</v>
      </c>
      <c r="E1350" s="857">
        <f>IF(D1350&gt;$I$1346,$I$1346,D1350)</f>
        <v>3890.9387179487176</v>
      </c>
      <c r="F1350" s="856">
        <f>+D1350-E1350</f>
        <v>144613.22235042736</v>
      </c>
      <c r="G1350" s="858">
        <f t="shared" ref="G1350:G1408" si="90">+$I$1344*((D1350+F1350)/2)+E1350</f>
        <v>20291.763595496737</v>
      </c>
      <c r="H1350" s="859">
        <f t="shared" ref="H1350:H1408" si="91">+$I$1345*((D1350+F1350)/2)+E1350</f>
        <v>20291.763595496737</v>
      </c>
      <c r="I1350" s="865">
        <f t="shared" si="89"/>
        <v>0</v>
      </c>
      <c r="J1350" s="453"/>
      <c r="K1350" s="566"/>
      <c r="L1350" s="459"/>
      <c r="M1350" s="566"/>
      <c r="N1350" s="459"/>
      <c r="O1350" s="459"/>
    </row>
    <row r="1351" spans="1:15" ht="12.75" customHeight="1">
      <c r="C1351" s="449">
        <f>IF(D1343="","-",+C1350+1)</f>
        <v>2021</v>
      </c>
      <c r="D1351" s="856">
        <f t="shared" ref="D1351:D1408" si="92">F1350</f>
        <v>144613.22235042736</v>
      </c>
      <c r="E1351" s="857">
        <f t="shared" ref="E1351:E1408" si="93">IF(D1351&gt;$I$1346,$I$1346,D1351)</f>
        <v>3890.9387179487176</v>
      </c>
      <c r="F1351" s="856">
        <f t="shared" ref="F1351:F1408" si="94">+D1351-E1351</f>
        <v>140722.28363247865</v>
      </c>
      <c r="G1351" s="858">
        <f t="shared" si="90"/>
        <v>19856.343466004309</v>
      </c>
      <c r="H1351" s="859">
        <f t="shared" si="91"/>
        <v>19856.343466004309</v>
      </c>
      <c r="I1351" s="453">
        <f t="shared" si="89"/>
        <v>0</v>
      </c>
      <c r="J1351" s="453"/>
      <c r="K1351" s="566">
        <v>16151.478034032174</v>
      </c>
      <c r="L1351" s="864"/>
      <c r="M1351" s="566">
        <v>16151.478034032174</v>
      </c>
      <c r="N1351" s="459"/>
      <c r="O1351" s="459"/>
    </row>
    <row r="1352" spans="1:15" ht="12.75" customHeight="1">
      <c r="C1352" s="449">
        <f>IF(D1343="","-",+C1351+1)</f>
        <v>2022</v>
      </c>
      <c r="D1352" s="856">
        <f t="shared" si="92"/>
        <v>140722.28363247865</v>
      </c>
      <c r="E1352" s="857">
        <f t="shared" si="93"/>
        <v>3890.9387179487176</v>
      </c>
      <c r="F1352" s="856">
        <f t="shared" si="94"/>
        <v>136831.34491452994</v>
      </c>
      <c r="G1352" s="858">
        <f t="shared" si="90"/>
        <v>19420.923336511889</v>
      </c>
      <c r="H1352" s="859">
        <f t="shared" si="91"/>
        <v>19420.923336511889</v>
      </c>
      <c r="I1352" s="453">
        <f t="shared" si="89"/>
        <v>0</v>
      </c>
      <c r="J1352" s="453"/>
      <c r="K1352" s="566">
        <v>16018.191356166253</v>
      </c>
      <c r="L1352" s="459"/>
      <c r="M1352" s="566">
        <v>16018.191356166253</v>
      </c>
      <c r="N1352" s="459"/>
      <c r="O1352" s="459"/>
    </row>
    <row r="1353" spans="1:15" ht="12.75" customHeight="1">
      <c r="C1353" s="449">
        <f>IF(D1343="","-",+C1352+1)</f>
        <v>2023</v>
      </c>
      <c r="D1353" s="856">
        <f t="shared" si="92"/>
        <v>136831.34491452994</v>
      </c>
      <c r="E1353" s="857">
        <f t="shared" si="93"/>
        <v>3890.9387179487176</v>
      </c>
      <c r="F1353" s="856">
        <f t="shared" si="94"/>
        <v>132940.40619658123</v>
      </c>
      <c r="G1353" s="858">
        <f t="shared" si="90"/>
        <v>18985.503207019461</v>
      </c>
      <c r="H1353" s="859">
        <f t="shared" si="91"/>
        <v>18985.503207019461</v>
      </c>
      <c r="I1353" s="453">
        <f t="shared" si="89"/>
        <v>0</v>
      </c>
      <c r="J1353" s="453"/>
      <c r="K1353" s="566">
        <v>16693.955095338679</v>
      </c>
      <c r="L1353" s="459"/>
      <c r="M1353" s="566">
        <v>16693.955095338679</v>
      </c>
      <c r="N1353" s="459"/>
      <c r="O1353" s="459"/>
    </row>
    <row r="1354" spans="1:15" ht="12.75" customHeight="1">
      <c r="C1354" s="449">
        <f>IF(D1343="","-",+C1353+1)</f>
        <v>2024</v>
      </c>
      <c r="D1354" s="856">
        <f t="shared" si="92"/>
        <v>132940.40619658123</v>
      </c>
      <c r="E1354" s="857">
        <f t="shared" si="93"/>
        <v>3890.9387179487176</v>
      </c>
      <c r="F1354" s="856">
        <f t="shared" si="94"/>
        <v>129049.4674786325</v>
      </c>
      <c r="G1354" s="858">
        <f t="shared" si="90"/>
        <v>18550.083077527037</v>
      </c>
      <c r="H1354" s="859">
        <f t="shared" si="91"/>
        <v>18550.083077527037</v>
      </c>
      <c r="I1354" s="453">
        <f t="shared" si="89"/>
        <v>0</v>
      </c>
      <c r="J1354" s="453"/>
      <c r="K1354" s="566">
        <v>11101.674408760362</v>
      </c>
      <c r="L1354" s="459"/>
      <c r="M1354" s="566">
        <v>11101.674408760362</v>
      </c>
      <c r="N1354" s="459"/>
      <c r="O1354" s="459"/>
    </row>
    <row r="1355" spans="1:15" ht="12.75" customHeight="1">
      <c r="C1355" s="449">
        <f>IF(D1343="","-",+C1354+1)</f>
        <v>2025</v>
      </c>
      <c r="D1355" s="856">
        <f t="shared" si="92"/>
        <v>129049.4674786325</v>
      </c>
      <c r="E1355" s="857">
        <f t="shared" si="93"/>
        <v>3890.9387179487176</v>
      </c>
      <c r="F1355" s="856">
        <f t="shared" si="94"/>
        <v>125158.52876068378</v>
      </c>
      <c r="G1355" s="858">
        <f t="shared" si="90"/>
        <v>18114.662948034613</v>
      </c>
      <c r="H1355" s="859">
        <f t="shared" si="91"/>
        <v>18114.662948034613</v>
      </c>
      <c r="I1355" s="453">
        <f t="shared" si="89"/>
        <v>0</v>
      </c>
      <c r="J1355" s="453"/>
      <c r="K1355" s="566">
        <v>17756.997968926677</v>
      </c>
      <c r="L1355" s="459"/>
      <c r="M1355" s="566">
        <v>17756.997968926677</v>
      </c>
      <c r="N1355" s="459"/>
      <c r="O1355" s="459"/>
    </row>
    <row r="1356" spans="1:15" ht="12.75" customHeight="1">
      <c r="C1356" s="855">
        <f>IF(D1343="","-",+C1355+1)</f>
        <v>2026</v>
      </c>
      <c r="D1356" s="856">
        <f t="shared" si="92"/>
        <v>125158.52876068378</v>
      </c>
      <c r="E1356" s="857">
        <f t="shared" si="93"/>
        <v>3890.9387179487176</v>
      </c>
      <c r="F1356" s="856">
        <f t="shared" si="94"/>
        <v>121267.59004273506</v>
      </c>
      <c r="G1356" s="858">
        <f t="shared" si="90"/>
        <v>17679.242818542185</v>
      </c>
      <c r="H1356" s="859">
        <f t="shared" si="91"/>
        <v>17679.242818542185</v>
      </c>
      <c r="I1356" s="865">
        <f t="shared" si="89"/>
        <v>0</v>
      </c>
      <c r="J1356" s="453"/>
      <c r="K1356" s="566"/>
      <c r="L1356" s="459"/>
      <c r="M1356" s="566"/>
      <c r="N1356" s="459"/>
      <c r="O1356" s="459"/>
    </row>
    <row r="1357" spans="1:15" ht="12.75" customHeight="1">
      <c r="C1357" s="449">
        <f>IF(D1343="","-",+C1356+1)</f>
        <v>2027</v>
      </c>
      <c r="D1357" s="856">
        <f t="shared" si="92"/>
        <v>121267.59004273506</v>
      </c>
      <c r="E1357" s="857">
        <f t="shared" si="93"/>
        <v>3890.9387179487176</v>
      </c>
      <c r="F1357" s="856">
        <f t="shared" si="94"/>
        <v>117376.65132478633</v>
      </c>
      <c r="G1357" s="858">
        <f t="shared" si="90"/>
        <v>17243.822689049761</v>
      </c>
      <c r="H1357" s="859">
        <f t="shared" si="91"/>
        <v>17243.822689049761</v>
      </c>
      <c r="I1357" s="453">
        <f t="shared" si="89"/>
        <v>0</v>
      </c>
      <c r="J1357" s="453"/>
      <c r="K1357" s="566"/>
      <c r="L1357" s="459"/>
      <c r="M1357" s="566"/>
      <c r="N1357" s="459"/>
      <c r="O1357" s="459"/>
    </row>
    <row r="1358" spans="1:15" ht="12.75" customHeight="1">
      <c r="C1358" s="449">
        <f>IF(D1343="","-",+C1357+1)</f>
        <v>2028</v>
      </c>
      <c r="D1358" s="856">
        <f t="shared" si="92"/>
        <v>117376.65132478633</v>
      </c>
      <c r="E1358" s="857">
        <f t="shared" si="93"/>
        <v>3890.9387179487176</v>
      </c>
      <c r="F1358" s="856">
        <f t="shared" si="94"/>
        <v>113485.71260683761</v>
      </c>
      <c r="G1358" s="858">
        <f t="shared" si="90"/>
        <v>16808.402559557333</v>
      </c>
      <c r="H1358" s="859">
        <f t="shared" si="91"/>
        <v>16808.402559557333</v>
      </c>
      <c r="I1358" s="453">
        <f t="shared" si="89"/>
        <v>0</v>
      </c>
      <c r="J1358" s="453"/>
      <c r="K1358" s="566"/>
      <c r="L1358" s="459"/>
      <c r="M1358" s="566"/>
      <c r="N1358" s="459"/>
      <c r="O1358" s="459"/>
    </row>
    <row r="1359" spans="1:15" ht="12.75" customHeight="1">
      <c r="C1359" s="449">
        <f>IF(D1343="","-",+C1358+1)</f>
        <v>2029</v>
      </c>
      <c r="D1359" s="856">
        <f t="shared" si="92"/>
        <v>113485.71260683761</v>
      </c>
      <c r="E1359" s="857">
        <f t="shared" si="93"/>
        <v>3890.9387179487176</v>
      </c>
      <c r="F1359" s="856">
        <f t="shared" si="94"/>
        <v>109594.77388888889</v>
      </c>
      <c r="G1359" s="858">
        <f t="shared" si="90"/>
        <v>16372.982430064909</v>
      </c>
      <c r="H1359" s="859">
        <f t="shared" si="91"/>
        <v>16372.982430064909</v>
      </c>
      <c r="I1359" s="453">
        <f t="shared" si="89"/>
        <v>0</v>
      </c>
      <c r="J1359" s="453"/>
      <c r="K1359" s="566"/>
      <c r="L1359" s="459"/>
      <c r="M1359" s="566"/>
      <c r="N1359" s="459"/>
      <c r="O1359" s="459"/>
    </row>
    <row r="1360" spans="1:15" ht="12.75" customHeight="1">
      <c r="C1360" s="449">
        <f>IF(D1343="","-",+C1359+1)</f>
        <v>2030</v>
      </c>
      <c r="D1360" s="856">
        <f t="shared" si="92"/>
        <v>109594.77388888889</v>
      </c>
      <c r="E1360" s="857">
        <f t="shared" si="93"/>
        <v>3890.9387179487176</v>
      </c>
      <c r="F1360" s="856">
        <f t="shared" si="94"/>
        <v>105703.83517094016</v>
      </c>
      <c r="G1360" s="858">
        <f t="shared" si="90"/>
        <v>15937.562300572481</v>
      </c>
      <c r="H1360" s="859">
        <f t="shared" si="91"/>
        <v>15937.562300572481</v>
      </c>
      <c r="I1360" s="453">
        <f t="shared" si="89"/>
        <v>0</v>
      </c>
      <c r="J1360" s="453"/>
      <c r="K1360" s="566"/>
      <c r="L1360" s="459"/>
      <c r="M1360" s="566"/>
      <c r="N1360" s="459"/>
      <c r="O1360" s="459"/>
    </row>
    <row r="1361" spans="3:15" ht="12.75" customHeight="1">
      <c r="C1361" s="449">
        <f>IF(D1343="","-",+C1360+1)</f>
        <v>2031</v>
      </c>
      <c r="D1361" s="856">
        <f t="shared" si="92"/>
        <v>105703.83517094016</v>
      </c>
      <c r="E1361" s="857">
        <f t="shared" si="93"/>
        <v>3890.9387179487176</v>
      </c>
      <c r="F1361" s="856">
        <f t="shared" si="94"/>
        <v>101812.89645299144</v>
      </c>
      <c r="G1361" s="858">
        <f t="shared" si="90"/>
        <v>15502.142171080057</v>
      </c>
      <c r="H1361" s="859">
        <f t="shared" si="91"/>
        <v>15502.142171080057</v>
      </c>
      <c r="I1361" s="453">
        <f t="shared" si="89"/>
        <v>0</v>
      </c>
      <c r="J1361" s="453"/>
      <c r="K1361" s="566"/>
      <c r="L1361" s="459"/>
      <c r="M1361" s="566"/>
      <c r="N1361" s="460"/>
      <c r="O1361" s="459"/>
    </row>
    <row r="1362" spans="3:15" ht="12.75" customHeight="1">
      <c r="C1362" s="449">
        <f>IF(D1343="","-",+C1361+1)</f>
        <v>2032</v>
      </c>
      <c r="D1362" s="856">
        <f t="shared" si="92"/>
        <v>101812.89645299144</v>
      </c>
      <c r="E1362" s="857">
        <f t="shared" si="93"/>
        <v>3890.9387179487176</v>
      </c>
      <c r="F1362" s="856">
        <f t="shared" si="94"/>
        <v>97921.957735042713</v>
      </c>
      <c r="G1362" s="858">
        <f t="shared" si="90"/>
        <v>15066.722041587629</v>
      </c>
      <c r="H1362" s="859">
        <f t="shared" si="91"/>
        <v>15066.722041587629</v>
      </c>
      <c r="I1362" s="453">
        <f t="shared" si="89"/>
        <v>0</v>
      </c>
      <c r="J1362" s="453"/>
      <c r="K1362" s="566"/>
      <c r="L1362" s="459"/>
      <c r="M1362" s="566"/>
      <c r="N1362" s="459"/>
      <c r="O1362" s="459"/>
    </row>
    <row r="1363" spans="3:15" ht="12.75" customHeight="1">
      <c r="C1363" s="449">
        <f>IF(D1343="","-",+C1362+1)</f>
        <v>2033</v>
      </c>
      <c r="D1363" s="856">
        <f t="shared" si="92"/>
        <v>97921.957735042713</v>
      </c>
      <c r="E1363" s="857">
        <f t="shared" si="93"/>
        <v>3890.9387179487176</v>
      </c>
      <c r="F1363" s="856">
        <f t="shared" si="94"/>
        <v>94031.01901709399</v>
      </c>
      <c r="G1363" s="858">
        <f t="shared" si="90"/>
        <v>14631.301912095205</v>
      </c>
      <c r="H1363" s="859">
        <f t="shared" si="91"/>
        <v>14631.301912095205</v>
      </c>
      <c r="I1363" s="453">
        <f t="shared" si="89"/>
        <v>0</v>
      </c>
      <c r="J1363" s="453"/>
      <c r="K1363" s="566"/>
      <c r="L1363" s="459"/>
      <c r="M1363" s="566"/>
      <c r="N1363" s="459"/>
      <c r="O1363" s="459"/>
    </row>
    <row r="1364" spans="3:15" ht="12.75" customHeight="1">
      <c r="C1364" s="449">
        <f>IF(D1343="","-",+C1363+1)</f>
        <v>2034</v>
      </c>
      <c r="D1364" s="856">
        <f t="shared" si="92"/>
        <v>94031.01901709399</v>
      </c>
      <c r="E1364" s="857">
        <f t="shared" si="93"/>
        <v>3890.9387179487176</v>
      </c>
      <c r="F1364" s="856">
        <f t="shared" si="94"/>
        <v>90140.080299145266</v>
      </c>
      <c r="G1364" s="858">
        <f t="shared" si="90"/>
        <v>14195.881782602777</v>
      </c>
      <c r="H1364" s="859">
        <f t="shared" si="91"/>
        <v>14195.881782602777</v>
      </c>
      <c r="I1364" s="453">
        <f t="shared" si="89"/>
        <v>0</v>
      </c>
      <c r="J1364" s="453"/>
      <c r="K1364" s="566"/>
      <c r="L1364" s="459"/>
      <c r="M1364" s="566"/>
      <c r="N1364" s="459"/>
      <c r="O1364" s="459"/>
    </row>
    <row r="1365" spans="3:15" ht="12.75" customHeight="1">
      <c r="C1365" s="449">
        <f>IF(D1343="","-",+C1364+1)</f>
        <v>2035</v>
      </c>
      <c r="D1365" s="856">
        <f t="shared" si="92"/>
        <v>90140.080299145266</v>
      </c>
      <c r="E1365" s="857">
        <f t="shared" si="93"/>
        <v>3890.9387179487176</v>
      </c>
      <c r="F1365" s="856">
        <f t="shared" si="94"/>
        <v>86249.141581196542</v>
      </c>
      <c r="G1365" s="858">
        <f t="shared" si="90"/>
        <v>13760.461653110353</v>
      </c>
      <c r="H1365" s="859">
        <f t="shared" si="91"/>
        <v>13760.461653110353</v>
      </c>
      <c r="I1365" s="453">
        <f t="shared" si="89"/>
        <v>0</v>
      </c>
      <c r="J1365" s="453"/>
      <c r="K1365" s="566"/>
      <c r="L1365" s="459"/>
      <c r="M1365" s="566"/>
      <c r="N1365" s="459"/>
      <c r="O1365" s="459"/>
    </row>
    <row r="1366" spans="3:15" ht="12.75" customHeight="1">
      <c r="C1366" s="449">
        <f>IF(D1343="","-",+C1365+1)</f>
        <v>2036</v>
      </c>
      <c r="D1366" s="856">
        <f t="shared" si="92"/>
        <v>86249.141581196542</v>
      </c>
      <c r="E1366" s="857">
        <f t="shared" si="93"/>
        <v>3890.9387179487176</v>
      </c>
      <c r="F1366" s="856">
        <f t="shared" si="94"/>
        <v>82358.202863247818</v>
      </c>
      <c r="G1366" s="858">
        <f t="shared" si="90"/>
        <v>13325.041523617925</v>
      </c>
      <c r="H1366" s="859">
        <f t="shared" si="91"/>
        <v>13325.041523617925</v>
      </c>
      <c r="I1366" s="453">
        <f t="shared" si="89"/>
        <v>0</v>
      </c>
      <c r="J1366" s="453"/>
      <c r="K1366" s="566"/>
      <c r="L1366" s="459"/>
      <c r="M1366" s="566"/>
      <c r="N1366" s="459"/>
      <c r="O1366" s="459"/>
    </row>
    <row r="1367" spans="3:15" ht="12.75" customHeight="1">
      <c r="C1367" s="449">
        <f>IF(D1343="","-",+C1366+1)</f>
        <v>2037</v>
      </c>
      <c r="D1367" s="856">
        <f t="shared" si="92"/>
        <v>82358.202863247818</v>
      </c>
      <c r="E1367" s="857">
        <f t="shared" si="93"/>
        <v>3890.9387179487176</v>
      </c>
      <c r="F1367" s="856">
        <f t="shared" si="94"/>
        <v>78467.264145299094</v>
      </c>
      <c r="G1367" s="858">
        <f t="shared" si="90"/>
        <v>12889.621394125501</v>
      </c>
      <c r="H1367" s="859">
        <f t="shared" si="91"/>
        <v>12889.621394125501</v>
      </c>
      <c r="I1367" s="453">
        <f t="shared" si="89"/>
        <v>0</v>
      </c>
      <c r="J1367" s="453"/>
      <c r="K1367" s="566"/>
      <c r="L1367" s="459"/>
      <c r="M1367" s="566"/>
      <c r="N1367" s="459"/>
      <c r="O1367" s="459"/>
    </row>
    <row r="1368" spans="3:15" ht="12.75" customHeight="1">
      <c r="C1368" s="449">
        <f>IF(D1343="","-",+C1367+1)</f>
        <v>2038</v>
      </c>
      <c r="D1368" s="856">
        <f t="shared" si="92"/>
        <v>78467.264145299094</v>
      </c>
      <c r="E1368" s="857">
        <f t="shared" si="93"/>
        <v>3890.9387179487176</v>
      </c>
      <c r="F1368" s="856">
        <f t="shared" si="94"/>
        <v>74576.32542735037</v>
      </c>
      <c r="G1368" s="858">
        <f t="shared" si="90"/>
        <v>12454.201264633073</v>
      </c>
      <c r="H1368" s="859">
        <f t="shared" si="91"/>
        <v>12454.201264633073</v>
      </c>
      <c r="I1368" s="453">
        <f t="shared" si="89"/>
        <v>0</v>
      </c>
      <c r="J1368" s="453"/>
      <c r="K1368" s="566"/>
      <c r="L1368" s="459"/>
      <c r="M1368" s="566"/>
      <c r="N1368" s="459"/>
      <c r="O1368" s="459"/>
    </row>
    <row r="1369" spans="3:15" ht="12.75" customHeight="1">
      <c r="C1369" s="449">
        <f>IF(D1343="","-",+C1368+1)</f>
        <v>2039</v>
      </c>
      <c r="D1369" s="856">
        <f t="shared" si="92"/>
        <v>74576.32542735037</v>
      </c>
      <c r="E1369" s="857">
        <f t="shared" si="93"/>
        <v>3890.9387179487176</v>
      </c>
      <c r="F1369" s="856">
        <f t="shared" si="94"/>
        <v>70685.386709401646</v>
      </c>
      <c r="G1369" s="858">
        <f t="shared" si="90"/>
        <v>12018.781135140649</v>
      </c>
      <c r="H1369" s="859">
        <f t="shared" si="91"/>
        <v>12018.781135140649</v>
      </c>
      <c r="I1369" s="453">
        <f t="shared" si="89"/>
        <v>0</v>
      </c>
      <c r="J1369" s="453"/>
      <c r="K1369" s="566"/>
      <c r="L1369" s="459"/>
      <c r="M1369" s="566"/>
      <c r="N1369" s="459"/>
      <c r="O1369" s="459"/>
    </row>
    <row r="1370" spans="3:15" ht="12.75" customHeight="1">
      <c r="C1370" s="449">
        <f>IF(D1343="","-",+C1369+1)</f>
        <v>2040</v>
      </c>
      <c r="D1370" s="856">
        <f t="shared" si="92"/>
        <v>70685.386709401646</v>
      </c>
      <c r="E1370" s="857">
        <f t="shared" si="93"/>
        <v>3890.9387179487176</v>
      </c>
      <c r="F1370" s="856">
        <f t="shared" si="94"/>
        <v>66794.447991452922</v>
      </c>
      <c r="G1370" s="858">
        <f t="shared" si="90"/>
        <v>11583.361005648221</v>
      </c>
      <c r="H1370" s="859">
        <f t="shared" si="91"/>
        <v>11583.361005648221</v>
      </c>
      <c r="I1370" s="453">
        <f t="shared" si="89"/>
        <v>0</v>
      </c>
      <c r="J1370" s="453"/>
      <c r="K1370" s="566"/>
      <c r="L1370" s="459"/>
      <c r="M1370" s="566"/>
      <c r="N1370" s="459"/>
      <c r="O1370" s="459"/>
    </row>
    <row r="1371" spans="3:15" ht="12.75" customHeight="1">
      <c r="C1371" s="449">
        <f>IF(D1343="","-",+C1370+1)</f>
        <v>2041</v>
      </c>
      <c r="D1371" s="856">
        <f t="shared" si="92"/>
        <v>66794.447991452922</v>
      </c>
      <c r="E1371" s="857">
        <f t="shared" si="93"/>
        <v>3890.9387179487176</v>
      </c>
      <c r="F1371" s="856">
        <f t="shared" si="94"/>
        <v>62903.509273504205</v>
      </c>
      <c r="G1371" s="858">
        <f t="shared" si="90"/>
        <v>11147.940876155797</v>
      </c>
      <c r="H1371" s="859">
        <f t="shared" si="91"/>
        <v>11147.940876155797</v>
      </c>
      <c r="I1371" s="453">
        <f t="shared" si="89"/>
        <v>0</v>
      </c>
      <c r="J1371" s="453"/>
      <c r="K1371" s="566"/>
      <c r="L1371" s="459"/>
      <c r="M1371" s="566"/>
      <c r="N1371" s="459"/>
      <c r="O1371" s="459"/>
    </row>
    <row r="1372" spans="3:15" ht="12.75" customHeight="1">
      <c r="C1372" s="449">
        <f>IF(D1343="","-",+C1371+1)</f>
        <v>2042</v>
      </c>
      <c r="D1372" s="856">
        <f t="shared" si="92"/>
        <v>62903.509273504205</v>
      </c>
      <c r="E1372" s="857">
        <f t="shared" si="93"/>
        <v>3890.9387179487176</v>
      </c>
      <c r="F1372" s="856">
        <f t="shared" si="94"/>
        <v>59012.570555555489</v>
      </c>
      <c r="G1372" s="858">
        <f t="shared" si="90"/>
        <v>10712.520746663373</v>
      </c>
      <c r="H1372" s="859">
        <f t="shared" si="91"/>
        <v>10712.520746663373</v>
      </c>
      <c r="I1372" s="453">
        <f t="shared" si="89"/>
        <v>0</v>
      </c>
      <c r="J1372" s="453"/>
      <c r="K1372" s="566"/>
      <c r="L1372" s="459"/>
      <c r="M1372" s="566"/>
      <c r="N1372" s="459"/>
      <c r="O1372" s="459"/>
    </row>
    <row r="1373" spans="3:15" ht="12.75" customHeight="1">
      <c r="C1373" s="449">
        <f>IF(D1343="","-",+C1372+1)</f>
        <v>2043</v>
      </c>
      <c r="D1373" s="856">
        <f t="shared" si="92"/>
        <v>59012.570555555489</v>
      </c>
      <c r="E1373" s="857">
        <f t="shared" si="93"/>
        <v>3890.9387179487176</v>
      </c>
      <c r="F1373" s="856">
        <f t="shared" si="94"/>
        <v>55121.631837606772</v>
      </c>
      <c r="G1373" s="858">
        <f t="shared" si="90"/>
        <v>10277.100617170949</v>
      </c>
      <c r="H1373" s="859">
        <f t="shared" si="91"/>
        <v>10277.100617170949</v>
      </c>
      <c r="I1373" s="453">
        <f t="shared" si="89"/>
        <v>0</v>
      </c>
      <c r="J1373" s="453"/>
      <c r="K1373" s="566"/>
      <c r="L1373" s="459"/>
      <c r="M1373" s="566"/>
      <c r="N1373" s="459"/>
      <c r="O1373" s="459"/>
    </row>
    <row r="1374" spans="3:15" ht="12.75" customHeight="1">
      <c r="C1374" s="449">
        <f>IF(D1343="","-",+C1373+1)</f>
        <v>2044</v>
      </c>
      <c r="D1374" s="856">
        <f t="shared" si="92"/>
        <v>55121.631837606772</v>
      </c>
      <c r="E1374" s="857">
        <f t="shared" si="93"/>
        <v>3890.9387179487176</v>
      </c>
      <c r="F1374" s="856">
        <f t="shared" si="94"/>
        <v>51230.693119658055</v>
      </c>
      <c r="G1374" s="858">
        <f t="shared" si="90"/>
        <v>9841.6804876785209</v>
      </c>
      <c r="H1374" s="859">
        <f t="shared" si="91"/>
        <v>9841.6804876785209</v>
      </c>
      <c r="I1374" s="453">
        <f t="shared" si="89"/>
        <v>0</v>
      </c>
      <c r="J1374" s="453"/>
      <c r="K1374" s="566"/>
      <c r="L1374" s="459"/>
      <c r="M1374" s="566"/>
      <c r="N1374" s="459"/>
      <c r="O1374" s="459"/>
    </row>
    <row r="1375" spans="3:15" ht="12.75" customHeight="1">
      <c r="C1375" s="449">
        <f>IF(D1343="","-",+C1374+1)</f>
        <v>2045</v>
      </c>
      <c r="D1375" s="856">
        <f t="shared" si="92"/>
        <v>51230.693119658055</v>
      </c>
      <c r="E1375" s="857">
        <f t="shared" si="93"/>
        <v>3890.9387179487176</v>
      </c>
      <c r="F1375" s="856">
        <f t="shared" si="94"/>
        <v>47339.754401709339</v>
      </c>
      <c r="G1375" s="858">
        <f t="shared" si="90"/>
        <v>9406.2603581860967</v>
      </c>
      <c r="H1375" s="859">
        <f t="shared" si="91"/>
        <v>9406.2603581860967</v>
      </c>
      <c r="I1375" s="453">
        <f t="shared" si="89"/>
        <v>0</v>
      </c>
      <c r="J1375" s="453"/>
      <c r="K1375" s="566"/>
      <c r="L1375" s="459"/>
      <c r="M1375" s="566"/>
      <c r="N1375" s="459"/>
      <c r="O1375" s="459"/>
    </row>
    <row r="1376" spans="3:15" ht="12.75" customHeight="1">
      <c r="C1376" s="449">
        <f>IF(D1343="","-",+C1375+1)</f>
        <v>2046</v>
      </c>
      <c r="D1376" s="856">
        <f t="shared" si="92"/>
        <v>47339.754401709339</v>
      </c>
      <c r="E1376" s="857">
        <f t="shared" si="93"/>
        <v>3890.9387179487176</v>
      </c>
      <c r="F1376" s="856">
        <f t="shared" si="94"/>
        <v>43448.815683760622</v>
      </c>
      <c r="G1376" s="858">
        <f t="shared" si="90"/>
        <v>8970.8402286936725</v>
      </c>
      <c r="H1376" s="859">
        <f t="shared" si="91"/>
        <v>8970.8402286936725</v>
      </c>
      <c r="I1376" s="453">
        <f t="shared" si="89"/>
        <v>0</v>
      </c>
      <c r="J1376" s="453"/>
      <c r="K1376" s="566"/>
      <c r="L1376" s="459"/>
      <c r="M1376" s="566"/>
      <c r="N1376" s="459"/>
      <c r="O1376" s="459"/>
    </row>
    <row r="1377" spans="3:15" ht="12.75" customHeight="1">
      <c r="C1377" s="449">
        <f>IF(D1343="","-",+C1376+1)</f>
        <v>2047</v>
      </c>
      <c r="D1377" s="856">
        <f t="shared" si="92"/>
        <v>43448.815683760622</v>
      </c>
      <c r="E1377" s="857">
        <f t="shared" si="93"/>
        <v>3890.9387179487176</v>
      </c>
      <c r="F1377" s="856">
        <f t="shared" si="94"/>
        <v>39557.876965811905</v>
      </c>
      <c r="G1377" s="858">
        <f t="shared" si="90"/>
        <v>8535.4200992012484</v>
      </c>
      <c r="H1377" s="859">
        <f t="shared" si="91"/>
        <v>8535.4200992012484</v>
      </c>
      <c r="I1377" s="453">
        <f t="shared" si="89"/>
        <v>0</v>
      </c>
      <c r="J1377" s="453"/>
      <c r="K1377" s="566"/>
      <c r="L1377" s="459"/>
      <c r="M1377" s="566"/>
      <c r="N1377" s="459"/>
      <c r="O1377" s="459"/>
    </row>
    <row r="1378" spans="3:15" ht="12.75" customHeight="1">
      <c r="C1378" s="449">
        <f>IF(D1343="","-",+C1377+1)</f>
        <v>2048</v>
      </c>
      <c r="D1378" s="856">
        <f t="shared" si="92"/>
        <v>39557.876965811905</v>
      </c>
      <c r="E1378" s="857">
        <f t="shared" si="93"/>
        <v>3890.9387179487176</v>
      </c>
      <c r="F1378" s="856">
        <f t="shared" si="94"/>
        <v>35666.938247863189</v>
      </c>
      <c r="G1378" s="858">
        <f t="shared" si="90"/>
        <v>8099.9999697088215</v>
      </c>
      <c r="H1378" s="859">
        <f t="shared" si="91"/>
        <v>8099.9999697088215</v>
      </c>
      <c r="I1378" s="453">
        <f t="shared" si="89"/>
        <v>0</v>
      </c>
      <c r="J1378" s="453"/>
      <c r="K1378" s="566"/>
      <c r="L1378" s="459"/>
      <c r="M1378" s="566"/>
      <c r="N1378" s="459"/>
      <c r="O1378" s="459"/>
    </row>
    <row r="1379" spans="3:15" ht="12.75" customHeight="1">
      <c r="C1379" s="449">
        <f>IF(D1343="","-",+C1378+1)</f>
        <v>2049</v>
      </c>
      <c r="D1379" s="856">
        <f t="shared" si="92"/>
        <v>35666.938247863189</v>
      </c>
      <c r="E1379" s="857">
        <f t="shared" si="93"/>
        <v>3890.9387179487176</v>
      </c>
      <c r="F1379" s="856">
        <f t="shared" si="94"/>
        <v>31775.999529914472</v>
      </c>
      <c r="G1379" s="858">
        <f t="shared" si="90"/>
        <v>7664.5798402163964</v>
      </c>
      <c r="H1379" s="859">
        <f t="shared" si="91"/>
        <v>7664.5798402163964</v>
      </c>
      <c r="I1379" s="453">
        <f t="shared" si="89"/>
        <v>0</v>
      </c>
      <c r="J1379" s="453"/>
      <c r="K1379" s="566"/>
      <c r="L1379" s="459"/>
      <c r="M1379" s="566"/>
      <c r="N1379" s="459"/>
      <c r="O1379" s="459"/>
    </row>
    <row r="1380" spans="3:15" ht="12.75" customHeight="1">
      <c r="C1380" s="449">
        <f>IF(D1343="","-",+C1379+1)</f>
        <v>2050</v>
      </c>
      <c r="D1380" s="856">
        <f t="shared" si="92"/>
        <v>31775.999529914472</v>
      </c>
      <c r="E1380" s="857">
        <f t="shared" si="93"/>
        <v>3890.9387179487176</v>
      </c>
      <c r="F1380" s="856">
        <f t="shared" si="94"/>
        <v>27885.060811965755</v>
      </c>
      <c r="G1380" s="858">
        <f t="shared" si="90"/>
        <v>7229.1597107239713</v>
      </c>
      <c r="H1380" s="859">
        <f t="shared" si="91"/>
        <v>7229.1597107239713</v>
      </c>
      <c r="I1380" s="453">
        <f t="shared" si="89"/>
        <v>0</v>
      </c>
      <c r="J1380" s="453"/>
      <c r="K1380" s="566"/>
      <c r="L1380" s="459"/>
      <c r="M1380" s="566"/>
      <c r="N1380" s="459"/>
      <c r="O1380" s="459"/>
    </row>
    <row r="1381" spans="3:15" ht="12.75" customHeight="1">
      <c r="C1381" s="449">
        <f>IF(D1343="","-",+C1380+1)</f>
        <v>2051</v>
      </c>
      <c r="D1381" s="856">
        <f t="shared" si="92"/>
        <v>27885.060811965755</v>
      </c>
      <c r="E1381" s="857">
        <f t="shared" si="93"/>
        <v>3890.9387179487176</v>
      </c>
      <c r="F1381" s="856">
        <f t="shared" si="94"/>
        <v>23994.122094017039</v>
      </c>
      <c r="G1381" s="858">
        <f t="shared" si="90"/>
        <v>6793.7395812315463</v>
      </c>
      <c r="H1381" s="859">
        <f t="shared" si="91"/>
        <v>6793.7395812315463</v>
      </c>
      <c r="I1381" s="453">
        <f t="shared" si="89"/>
        <v>0</v>
      </c>
      <c r="J1381" s="453"/>
      <c r="K1381" s="566"/>
      <c r="L1381" s="459"/>
      <c r="M1381" s="566"/>
      <c r="N1381" s="459"/>
      <c r="O1381" s="459"/>
    </row>
    <row r="1382" spans="3:15" ht="12.75" customHeight="1">
      <c r="C1382" s="449">
        <f>IF(D1343="","-",+C1381+1)</f>
        <v>2052</v>
      </c>
      <c r="D1382" s="856">
        <f t="shared" si="92"/>
        <v>23994.122094017039</v>
      </c>
      <c r="E1382" s="857">
        <f t="shared" si="93"/>
        <v>3890.9387179487176</v>
      </c>
      <c r="F1382" s="856">
        <f t="shared" si="94"/>
        <v>20103.183376068322</v>
      </c>
      <c r="G1382" s="858">
        <f t="shared" si="90"/>
        <v>6358.3194517391212</v>
      </c>
      <c r="H1382" s="859">
        <f t="shared" si="91"/>
        <v>6358.3194517391212</v>
      </c>
      <c r="I1382" s="453">
        <f t="shared" si="89"/>
        <v>0</v>
      </c>
      <c r="J1382" s="453"/>
      <c r="K1382" s="566"/>
      <c r="L1382" s="459"/>
      <c r="M1382" s="566"/>
      <c r="N1382" s="459"/>
      <c r="O1382" s="459"/>
    </row>
    <row r="1383" spans="3:15" ht="12.75" customHeight="1">
      <c r="C1383" s="449">
        <f>IF(D1343="","-",+C1382+1)</f>
        <v>2053</v>
      </c>
      <c r="D1383" s="856">
        <f t="shared" si="92"/>
        <v>20103.183376068322</v>
      </c>
      <c r="E1383" s="857">
        <f t="shared" si="93"/>
        <v>3890.9387179487176</v>
      </c>
      <c r="F1383" s="856">
        <f t="shared" si="94"/>
        <v>16212.244658119605</v>
      </c>
      <c r="G1383" s="858">
        <f t="shared" si="90"/>
        <v>5922.8993222466961</v>
      </c>
      <c r="H1383" s="859">
        <f t="shared" si="91"/>
        <v>5922.8993222466961</v>
      </c>
      <c r="I1383" s="453">
        <f t="shared" si="89"/>
        <v>0</v>
      </c>
      <c r="J1383" s="453"/>
      <c r="K1383" s="566"/>
      <c r="L1383" s="459"/>
      <c r="M1383" s="566"/>
      <c r="N1383" s="459"/>
      <c r="O1383" s="459"/>
    </row>
    <row r="1384" spans="3:15" ht="12.75" customHeight="1">
      <c r="C1384" s="449">
        <f>IF(D1343="","-",+C1383+1)</f>
        <v>2054</v>
      </c>
      <c r="D1384" s="856">
        <f t="shared" si="92"/>
        <v>16212.244658119605</v>
      </c>
      <c r="E1384" s="857">
        <f t="shared" si="93"/>
        <v>3890.9387179487176</v>
      </c>
      <c r="F1384" s="856">
        <f t="shared" si="94"/>
        <v>12321.305940170889</v>
      </c>
      <c r="G1384" s="858">
        <f t="shared" si="90"/>
        <v>5487.479192754271</v>
      </c>
      <c r="H1384" s="859">
        <f t="shared" si="91"/>
        <v>5487.479192754271</v>
      </c>
      <c r="I1384" s="453">
        <f t="shared" si="89"/>
        <v>0</v>
      </c>
      <c r="J1384" s="453"/>
      <c r="K1384" s="566"/>
      <c r="L1384" s="459"/>
      <c r="M1384" s="566"/>
      <c r="N1384" s="459"/>
      <c r="O1384" s="459"/>
    </row>
    <row r="1385" spans="3:15" ht="12.75" customHeight="1">
      <c r="C1385" s="449">
        <f>IF(D1343="","-",+C1384+1)</f>
        <v>2055</v>
      </c>
      <c r="D1385" s="856">
        <f t="shared" si="92"/>
        <v>12321.305940170889</v>
      </c>
      <c r="E1385" s="857">
        <f t="shared" si="93"/>
        <v>3890.9387179487176</v>
      </c>
      <c r="F1385" s="856">
        <f t="shared" si="94"/>
        <v>8430.3672222221721</v>
      </c>
      <c r="G1385" s="858">
        <f t="shared" si="90"/>
        <v>5052.0590632618459</v>
      </c>
      <c r="H1385" s="859">
        <f t="shared" si="91"/>
        <v>5052.0590632618459</v>
      </c>
      <c r="I1385" s="453">
        <f t="shared" si="89"/>
        <v>0</v>
      </c>
      <c r="J1385" s="453"/>
      <c r="K1385" s="566"/>
      <c r="L1385" s="459"/>
      <c r="M1385" s="566"/>
      <c r="N1385" s="459"/>
      <c r="O1385" s="459"/>
    </row>
    <row r="1386" spans="3:15" ht="12.75" customHeight="1">
      <c r="C1386" s="449">
        <f>IF(D1343="","-",+C1385+1)</f>
        <v>2056</v>
      </c>
      <c r="D1386" s="856">
        <f t="shared" si="92"/>
        <v>8430.3672222221721</v>
      </c>
      <c r="E1386" s="857">
        <f t="shared" si="93"/>
        <v>3890.9387179487176</v>
      </c>
      <c r="F1386" s="856">
        <f t="shared" si="94"/>
        <v>4539.4285042734546</v>
      </c>
      <c r="G1386" s="858">
        <f t="shared" si="90"/>
        <v>4616.6389337694209</v>
      </c>
      <c r="H1386" s="859">
        <f t="shared" si="91"/>
        <v>4616.6389337694209</v>
      </c>
      <c r="I1386" s="453">
        <f t="shared" si="89"/>
        <v>0</v>
      </c>
      <c r="J1386" s="453"/>
      <c r="K1386" s="566"/>
      <c r="L1386" s="459"/>
      <c r="M1386" s="566"/>
      <c r="N1386" s="459"/>
      <c r="O1386" s="459"/>
    </row>
    <row r="1387" spans="3:15" ht="12.75" customHeight="1">
      <c r="C1387" s="449">
        <f>IF(D1343="","-",+C1386+1)</f>
        <v>2057</v>
      </c>
      <c r="D1387" s="856">
        <f t="shared" si="92"/>
        <v>4539.4285042734546</v>
      </c>
      <c r="E1387" s="857">
        <f t="shared" si="93"/>
        <v>3890.9387179487176</v>
      </c>
      <c r="F1387" s="856">
        <f t="shared" si="94"/>
        <v>648.489786324737</v>
      </c>
      <c r="G1387" s="858">
        <f t="shared" si="90"/>
        <v>4181.2188042769958</v>
      </c>
      <c r="H1387" s="859">
        <f t="shared" si="91"/>
        <v>4181.2188042769958</v>
      </c>
      <c r="I1387" s="453">
        <f t="shared" si="89"/>
        <v>0</v>
      </c>
      <c r="J1387" s="453"/>
      <c r="K1387" s="566"/>
      <c r="L1387" s="459"/>
      <c r="M1387" s="566"/>
      <c r="N1387" s="459"/>
      <c r="O1387" s="459"/>
    </row>
    <row r="1388" spans="3:15" ht="12.75" customHeight="1">
      <c r="C1388" s="449">
        <f>IF(D1343="","-",+C1387+1)</f>
        <v>2058</v>
      </c>
      <c r="D1388" s="856">
        <f t="shared" si="92"/>
        <v>648.489786324737</v>
      </c>
      <c r="E1388" s="857">
        <f t="shared" si="93"/>
        <v>648.489786324737</v>
      </c>
      <c r="F1388" s="856">
        <f t="shared" si="94"/>
        <v>0</v>
      </c>
      <c r="G1388" s="858">
        <f t="shared" si="90"/>
        <v>684.77479711576962</v>
      </c>
      <c r="H1388" s="859">
        <f t="shared" si="91"/>
        <v>684.77479711576962</v>
      </c>
      <c r="I1388" s="453">
        <f t="shared" si="89"/>
        <v>0</v>
      </c>
      <c r="J1388" s="453"/>
      <c r="K1388" s="566"/>
      <c r="L1388" s="459"/>
      <c r="M1388" s="566"/>
      <c r="N1388" s="459"/>
      <c r="O1388" s="459"/>
    </row>
    <row r="1389" spans="3:15" ht="12.75" customHeight="1">
      <c r="C1389" s="449">
        <f>IF(D1343="","-",+C1388+1)</f>
        <v>2059</v>
      </c>
      <c r="D1389" s="856">
        <f t="shared" si="92"/>
        <v>0</v>
      </c>
      <c r="E1389" s="857">
        <f t="shared" si="93"/>
        <v>0</v>
      </c>
      <c r="F1389" s="856">
        <f t="shared" si="94"/>
        <v>0</v>
      </c>
      <c r="G1389" s="858">
        <f t="shared" si="90"/>
        <v>0</v>
      </c>
      <c r="H1389" s="859">
        <f t="shared" si="91"/>
        <v>0</v>
      </c>
      <c r="I1389" s="453">
        <f t="shared" si="89"/>
        <v>0</v>
      </c>
      <c r="J1389" s="453"/>
      <c r="K1389" s="566"/>
      <c r="L1389" s="459"/>
      <c r="M1389" s="566"/>
      <c r="N1389" s="459"/>
      <c r="O1389" s="459"/>
    </row>
    <row r="1390" spans="3:15" ht="12.75" customHeight="1">
      <c r="C1390" s="449">
        <f>IF(D1343="","-",+C1389+1)</f>
        <v>2060</v>
      </c>
      <c r="D1390" s="856">
        <f t="shared" si="92"/>
        <v>0</v>
      </c>
      <c r="E1390" s="857">
        <f t="shared" si="93"/>
        <v>0</v>
      </c>
      <c r="F1390" s="856">
        <f t="shared" si="94"/>
        <v>0</v>
      </c>
      <c r="G1390" s="858">
        <f t="shared" si="90"/>
        <v>0</v>
      </c>
      <c r="H1390" s="859">
        <f t="shared" si="91"/>
        <v>0</v>
      </c>
      <c r="I1390" s="453">
        <f t="shared" si="89"/>
        <v>0</v>
      </c>
      <c r="J1390" s="453"/>
      <c r="K1390" s="566"/>
      <c r="L1390" s="459"/>
      <c r="M1390" s="566"/>
      <c r="N1390" s="459"/>
      <c r="O1390" s="459"/>
    </row>
    <row r="1391" spans="3:15" ht="12.75" customHeight="1">
      <c r="C1391" s="449">
        <f>IF(D1343="","-",+C1390+1)</f>
        <v>2061</v>
      </c>
      <c r="D1391" s="856">
        <f t="shared" si="92"/>
        <v>0</v>
      </c>
      <c r="E1391" s="857">
        <f t="shared" si="93"/>
        <v>0</v>
      </c>
      <c r="F1391" s="856">
        <f t="shared" si="94"/>
        <v>0</v>
      </c>
      <c r="G1391" s="858">
        <f t="shared" si="90"/>
        <v>0</v>
      </c>
      <c r="H1391" s="859">
        <f t="shared" si="91"/>
        <v>0</v>
      </c>
      <c r="I1391" s="453">
        <f t="shared" si="89"/>
        <v>0</v>
      </c>
      <c r="J1391" s="453"/>
      <c r="K1391" s="566"/>
      <c r="L1391" s="459"/>
      <c r="M1391" s="566"/>
      <c r="N1391" s="459"/>
      <c r="O1391" s="459"/>
    </row>
    <row r="1392" spans="3:15" ht="12.75" customHeight="1">
      <c r="C1392" s="449">
        <f>IF(D1343="","-",+C1391+1)</f>
        <v>2062</v>
      </c>
      <c r="D1392" s="856">
        <f t="shared" si="92"/>
        <v>0</v>
      </c>
      <c r="E1392" s="857">
        <f t="shared" si="93"/>
        <v>0</v>
      </c>
      <c r="F1392" s="856">
        <f t="shared" si="94"/>
        <v>0</v>
      </c>
      <c r="G1392" s="858">
        <f t="shared" si="90"/>
        <v>0</v>
      </c>
      <c r="H1392" s="859">
        <f t="shared" si="91"/>
        <v>0</v>
      </c>
      <c r="I1392" s="453">
        <f t="shared" si="89"/>
        <v>0</v>
      </c>
      <c r="J1392" s="453"/>
      <c r="K1392" s="566"/>
      <c r="L1392" s="459"/>
      <c r="M1392" s="566"/>
      <c r="N1392" s="459"/>
      <c r="O1392" s="459"/>
    </row>
    <row r="1393" spans="3:15" ht="12.75" customHeight="1">
      <c r="C1393" s="449">
        <f>IF(D1343="","-",+C1392+1)</f>
        <v>2063</v>
      </c>
      <c r="D1393" s="856">
        <f t="shared" si="92"/>
        <v>0</v>
      </c>
      <c r="E1393" s="857">
        <f t="shared" si="93"/>
        <v>0</v>
      </c>
      <c r="F1393" s="856">
        <f t="shared" si="94"/>
        <v>0</v>
      </c>
      <c r="G1393" s="858">
        <f t="shared" si="90"/>
        <v>0</v>
      </c>
      <c r="H1393" s="859">
        <f t="shared" si="91"/>
        <v>0</v>
      </c>
      <c r="I1393" s="453">
        <f t="shared" si="89"/>
        <v>0</v>
      </c>
      <c r="J1393" s="453"/>
      <c r="K1393" s="566"/>
      <c r="L1393" s="459"/>
      <c r="M1393" s="566"/>
      <c r="N1393" s="459"/>
      <c r="O1393" s="459"/>
    </row>
    <row r="1394" spans="3:15" ht="12.75" customHeight="1">
      <c r="C1394" s="449">
        <f>IF(D1343="","-",+C1393+1)</f>
        <v>2064</v>
      </c>
      <c r="D1394" s="856">
        <f t="shared" si="92"/>
        <v>0</v>
      </c>
      <c r="E1394" s="857">
        <f t="shared" si="93"/>
        <v>0</v>
      </c>
      <c r="F1394" s="856">
        <f t="shared" si="94"/>
        <v>0</v>
      </c>
      <c r="G1394" s="858">
        <f t="shared" si="90"/>
        <v>0</v>
      </c>
      <c r="H1394" s="859">
        <f t="shared" si="91"/>
        <v>0</v>
      </c>
      <c r="I1394" s="453">
        <f t="shared" si="89"/>
        <v>0</v>
      </c>
      <c r="J1394" s="453"/>
      <c r="K1394" s="566"/>
      <c r="L1394" s="459"/>
      <c r="M1394" s="566"/>
      <c r="N1394" s="459"/>
      <c r="O1394" s="459"/>
    </row>
    <row r="1395" spans="3:15" ht="12.75" customHeight="1">
      <c r="C1395" s="449">
        <f>IF(D1343="","-",+C1394+1)</f>
        <v>2065</v>
      </c>
      <c r="D1395" s="856">
        <f t="shared" si="92"/>
        <v>0</v>
      </c>
      <c r="E1395" s="857">
        <f t="shared" si="93"/>
        <v>0</v>
      </c>
      <c r="F1395" s="856">
        <f t="shared" si="94"/>
        <v>0</v>
      </c>
      <c r="G1395" s="858">
        <f t="shared" si="90"/>
        <v>0</v>
      </c>
      <c r="H1395" s="859">
        <f t="shared" si="91"/>
        <v>0</v>
      </c>
      <c r="I1395" s="453">
        <f t="shared" si="89"/>
        <v>0</v>
      </c>
      <c r="J1395" s="453"/>
      <c r="K1395" s="566"/>
      <c r="L1395" s="459"/>
      <c r="M1395" s="566"/>
      <c r="N1395" s="459"/>
      <c r="O1395" s="459"/>
    </row>
    <row r="1396" spans="3:15" ht="12.75" customHeight="1">
      <c r="C1396" s="449">
        <f>IF(D1343="","-",+C1395+1)</f>
        <v>2066</v>
      </c>
      <c r="D1396" s="856">
        <f t="shared" si="92"/>
        <v>0</v>
      </c>
      <c r="E1396" s="857">
        <f t="shared" si="93"/>
        <v>0</v>
      </c>
      <c r="F1396" s="856">
        <f t="shared" si="94"/>
        <v>0</v>
      </c>
      <c r="G1396" s="858">
        <f t="shared" si="90"/>
        <v>0</v>
      </c>
      <c r="H1396" s="859">
        <f t="shared" si="91"/>
        <v>0</v>
      </c>
      <c r="I1396" s="453">
        <f t="shared" si="89"/>
        <v>0</v>
      </c>
      <c r="J1396" s="453"/>
      <c r="K1396" s="566"/>
      <c r="L1396" s="459"/>
      <c r="M1396" s="566"/>
      <c r="N1396" s="459"/>
      <c r="O1396" s="459"/>
    </row>
    <row r="1397" spans="3:15" ht="12.75" customHeight="1">
      <c r="C1397" s="449">
        <f>IF(D1343="","-",+C1396+1)</f>
        <v>2067</v>
      </c>
      <c r="D1397" s="856">
        <f t="shared" si="92"/>
        <v>0</v>
      </c>
      <c r="E1397" s="857">
        <f t="shared" si="93"/>
        <v>0</v>
      </c>
      <c r="F1397" s="856">
        <f t="shared" si="94"/>
        <v>0</v>
      </c>
      <c r="G1397" s="858">
        <f t="shared" si="90"/>
        <v>0</v>
      </c>
      <c r="H1397" s="859">
        <f t="shared" si="91"/>
        <v>0</v>
      </c>
      <c r="I1397" s="453">
        <f t="shared" si="89"/>
        <v>0</v>
      </c>
      <c r="J1397" s="453"/>
      <c r="K1397" s="566"/>
      <c r="L1397" s="459"/>
      <c r="M1397" s="566"/>
      <c r="N1397" s="459"/>
      <c r="O1397" s="459"/>
    </row>
    <row r="1398" spans="3:15" ht="12.75" customHeight="1">
      <c r="C1398" s="449">
        <f>IF(D1343="","-",+C1397+1)</f>
        <v>2068</v>
      </c>
      <c r="D1398" s="856">
        <f t="shared" si="92"/>
        <v>0</v>
      </c>
      <c r="E1398" s="857">
        <f t="shared" si="93"/>
        <v>0</v>
      </c>
      <c r="F1398" s="856">
        <f t="shared" si="94"/>
        <v>0</v>
      </c>
      <c r="G1398" s="858">
        <f t="shared" si="90"/>
        <v>0</v>
      </c>
      <c r="H1398" s="859">
        <f t="shared" si="91"/>
        <v>0</v>
      </c>
      <c r="I1398" s="453">
        <f t="shared" si="89"/>
        <v>0</v>
      </c>
      <c r="J1398" s="453"/>
      <c r="K1398" s="566"/>
      <c r="L1398" s="459"/>
      <c r="M1398" s="566"/>
      <c r="N1398" s="459"/>
      <c r="O1398" s="459"/>
    </row>
    <row r="1399" spans="3:15" ht="12.75" customHeight="1">
      <c r="C1399" s="449">
        <f>IF(D1343="","-",+C1398+1)</f>
        <v>2069</v>
      </c>
      <c r="D1399" s="856">
        <f t="shared" si="92"/>
        <v>0</v>
      </c>
      <c r="E1399" s="857">
        <f t="shared" si="93"/>
        <v>0</v>
      </c>
      <c r="F1399" s="856">
        <f t="shared" si="94"/>
        <v>0</v>
      </c>
      <c r="G1399" s="858">
        <f t="shared" si="90"/>
        <v>0</v>
      </c>
      <c r="H1399" s="859">
        <f t="shared" si="91"/>
        <v>0</v>
      </c>
      <c r="I1399" s="453">
        <f t="shared" si="89"/>
        <v>0</v>
      </c>
      <c r="J1399" s="453"/>
      <c r="K1399" s="566"/>
      <c r="L1399" s="459"/>
      <c r="M1399" s="566"/>
      <c r="N1399" s="459"/>
      <c r="O1399" s="459"/>
    </row>
    <row r="1400" spans="3:15" ht="12.75" customHeight="1">
      <c r="C1400" s="449">
        <f>IF(D1343="","-",+C1399+1)</f>
        <v>2070</v>
      </c>
      <c r="D1400" s="856">
        <f t="shared" si="92"/>
        <v>0</v>
      </c>
      <c r="E1400" s="857">
        <f t="shared" si="93"/>
        <v>0</v>
      </c>
      <c r="F1400" s="856">
        <f t="shared" si="94"/>
        <v>0</v>
      </c>
      <c r="G1400" s="858">
        <f t="shared" si="90"/>
        <v>0</v>
      </c>
      <c r="H1400" s="859">
        <f t="shared" si="91"/>
        <v>0</v>
      </c>
      <c r="I1400" s="453">
        <f t="shared" si="89"/>
        <v>0</v>
      </c>
      <c r="J1400" s="453"/>
      <c r="K1400" s="566"/>
      <c r="L1400" s="459"/>
      <c r="M1400" s="566"/>
      <c r="N1400" s="459"/>
      <c r="O1400" s="459"/>
    </row>
    <row r="1401" spans="3:15" ht="12.75" customHeight="1">
      <c r="C1401" s="449">
        <f>IF(D1343="","-",+C1400+1)</f>
        <v>2071</v>
      </c>
      <c r="D1401" s="856">
        <f t="shared" si="92"/>
        <v>0</v>
      </c>
      <c r="E1401" s="857">
        <f t="shared" si="93"/>
        <v>0</v>
      </c>
      <c r="F1401" s="856">
        <f t="shared" si="94"/>
        <v>0</v>
      </c>
      <c r="G1401" s="858">
        <f t="shared" si="90"/>
        <v>0</v>
      </c>
      <c r="H1401" s="859">
        <f t="shared" si="91"/>
        <v>0</v>
      </c>
      <c r="I1401" s="453">
        <f t="shared" si="89"/>
        <v>0</v>
      </c>
      <c r="J1401" s="453"/>
      <c r="K1401" s="566"/>
      <c r="L1401" s="459"/>
      <c r="M1401" s="566"/>
      <c r="N1401" s="459"/>
      <c r="O1401" s="459"/>
    </row>
    <row r="1402" spans="3:15" ht="12.75" customHeight="1">
      <c r="C1402" s="449">
        <f>IF(D1343="","-",+C1401+1)</f>
        <v>2072</v>
      </c>
      <c r="D1402" s="856">
        <f t="shared" si="92"/>
        <v>0</v>
      </c>
      <c r="E1402" s="857">
        <f t="shared" si="93"/>
        <v>0</v>
      </c>
      <c r="F1402" s="856">
        <f t="shared" si="94"/>
        <v>0</v>
      </c>
      <c r="G1402" s="858">
        <f t="shared" si="90"/>
        <v>0</v>
      </c>
      <c r="H1402" s="859">
        <f t="shared" si="91"/>
        <v>0</v>
      </c>
      <c r="I1402" s="453">
        <f t="shared" si="89"/>
        <v>0</v>
      </c>
      <c r="J1402" s="453"/>
      <c r="K1402" s="566"/>
      <c r="L1402" s="459"/>
      <c r="M1402" s="566"/>
      <c r="N1402" s="459"/>
      <c r="O1402" s="459"/>
    </row>
    <row r="1403" spans="3:15" ht="12.75" customHeight="1">
      <c r="C1403" s="449">
        <f>IF(D1343="","-",+C1402+1)</f>
        <v>2073</v>
      </c>
      <c r="D1403" s="856">
        <f t="shared" si="92"/>
        <v>0</v>
      </c>
      <c r="E1403" s="857">
        <f t="shared" si="93"/>
        <v>0</v>
      </c>
      <c r="F1403" s="856">
        <f t="shared" si="94"/>
        <v>0</v>
      </c>
      <c r="G1403" s="858">
        <f t="shared" si="90"/>
        <v>0</v>
      </c>
      <c r="H1403" s="859">
        <f t="shared" si="91"/>
        <v>0</v>
      </c>
      <c r="I1403" s="453">
        <f t="shared" si="89"/>
        <v>0</v>
      </c>
      <c r="J1403" s="453"/>
      <c r="K1403" s="566"/>
      <c r="L1403" s="459"/>
      <c r="M1403" s="566"/>
      <c r="N1403" s="459"/>
      <c r="O1403" s="459"/>
    </row>
    <row r="1404" spans="3:15" ht="12.75" customHeight="1">
      <c r="C1404" s="449">
        <f>IF(D1343="","-",+C1403+1)</f>
        <v>2074</v>
      </c>
      <c r="D1404" s="856">
        <f t="shared" si="92"/>
        <v>0</v>
      </c>
      <c r="E1404" s="857">
        <f t="shared" si="93"/>
        <v>0</v>
      </c>
      <c r="F1404" s="856">
        <f t="shared" si="94"/>
        <v>0</v>
      </c>
      <c r="G1404" s="858">
        <f t="shared" si="90"/>
        <v>0</v>
      </c>
      <c r="H1404" s="859">
        <f t="shared" si="91"/>
        <v>0</v>
      </c>
      <c r="I1404" s="453">
        <f t="shared" si="89"/>
        <v>0</v>
      </c>
      <c r="J1404" s="453"/>
      <c r="K1404" s="566"/>
      <c r="L1404" s="459"/>
      <c r="M1404" s="566"/>
      <c r="N1404" s="459"/>
      <c r="O1404" s="459"/>
    </row>
    <row r="1405" spans="3:15" ht="12.75" customHeight="1">
      <c r="C1405" s="449">
        <f>IF(D1343="","-",+C1404+1)</f>
        <v>2075</v>
      </c>
      <c r="D1405" s="856">
        <f t="shared" si="92"/>
        <v>0</v>
      </c>
      <c r="E1405" s="857">
        <f t="shared" si="93"/>
        <v>0</v>
      </c>
      <c r="F1405" s="856">
        <f t="shared" si="94"/>
        <v>0</v>
      </c>
      <c r="G1405" s="858">
        <f t="shared" si="90"/>
        <v>0</v>
      </c>
      <c r="H1405" s="859">
        <f t="shared" si="91"/>
        <v>0</v>
      </c>
      <c r="I1405" s="453">
        <f t="shared" si="89"/>
        <v>0</v>
      </c>
      <c r="J1405" s="453"/>
      <c r="K1405" s="566"/>
      <c r="L1405" s="459"/>
      <c r="M1405" s="566"/>
      <c r="N1405" s="459"/>
      <c r="O1405" s="459"/>
    </row>
    <row r="1406" spans="3:15" ht="12.75" customHeight="1">
      <c r="C1406" s="449">
        <f>IF(D1343="","-",+C1405+1)</f>
        <v>2076</v>
      </c>
      <c r="D1406" s="856">
        <f t="shared" si="92"/>
        <v>0</v>
      </c>
      <c r="E1406" s="857">
        <f t="shared" si="93"/>
        <v>0</v>
      </c>
      <c r="F1406" s="856">
        <f t="shared" si="94"/>
        <v>0</v>
      </c>
      <c r="G1406" s="858">
        <f t="shared" si="90"/>
        <v>0</v>
      </c>
      <c r="H1406" s="859">
        <f t="shared" si="91"/>
        <v>0</v>
      </c>
      <c r="I1406" s="453">
        <f t="shared" si="89"/>
        <v>0</v>
      </c>
      <c r="J1406" s="453"/>
      <c r="K1406" s="566"/>
      <c r="L1406" s="459"/>
      <c r="M1406" s="566"/>
      <c r="N1406" s="459"/>
      <c r="O1406" s="459"/>
    </row>
    <row r="1407" spans="3:15" ht="12.75" customHeight="1">
      <c r="C1407" s="449">
        <f>IF(D1343="","-",+C1406+1)</f>
        <v>2077</v>
      </c>
      <c r="D1407" s="856">
        <f t="shared" si="92"/>
        <v>0</v>
      </c>
      <c r="E1407" s="857">
        <f t="shared" si="93"/>
        <v>0</v>
      </c>
      <c r="F1407" s="856">
        <f t="shared" si="94"/>
        <v>0</v>
      </c>
      <c r="G1407" s="858">
        <f t="shared" si="90"/>
        <v>0</v>
      </c>
      <c r="H1407" s="859">
        <f t="shared" si="91"/>
        <v>0</v>
      </c>
      <c r="I1407" s="453">
        <f t="shared" si="89"/>
        <v>0</v>
      </c>
      <c r="J1407" s="453"/>
      <c r="K1407" s="566"/>
      <c r="L1407" s="459"/>
      <c r="M1407" s="566"/>
      <c r="N1407" s="459"/>
      <c r="O1407" s="459"/>
    </row>
    <row r="1408" spans="3:15" ht="12.75" customHeight="1" thickBot="1">
      <c r="C1408" s="461">
        <f>IF(D1343="","-",+C1407+1)</f>
        <v>2078</v>
      </c>
      <c r="D1408" s="887">
        <f t="shared" si="92"/>
        <v>0</v>
      </c>
      <c r="E1408" s="880">
        <f t="shared" si="93"/>
        <v>0</v>
      </c>
      <c r="F1408" s="888">
        <f t="shared" si="94"/>
        <v>0</v>
      </c>
      <c r="G1408" s="884">
        <f t="shared" si="90"/>
        <v>0</v>
      </c>
      <c r="H1408" s="885">
        <f t="shared" si="91"/>
        <v>0</v>
      </c>
      <c r="I1408" s="465">
        <f t="shared" si="89"/>
        <v>0</v>
      </c>
      <c r="J1408" s="453"/>
      <c r="K1408" s="567"/>
      <c r="L1408" s="467"/>
      <c r="M1408" s="567"/>
      <c r="N1408" s="467"/>
      <c r="O1408" s="467"/>
    </row>
    <row r="1409" spans="1:16" ht="12.75" customHeight="1">
      <c r="C1409" s="412" t="s">
        <v>288</v>
      </c>
      <c r="D1409" s="832"/>
      <c r="E1409" s="832">
        <f>SUM(E1349:E1408)</f>
        <v>151746.60999999999</v>
      </c>
      <c r="F1409" s="832"/>
      <c r="G1409" s="832">
        <f>SUM(G1349:G1408)</f>
        <v>485713.84932068997</v>
      </c>
      <c r="H1409" s="832">
        <f>SUM(H1349:H1408)</f>
        <v>485713.84932068997</v>
      </c>
      <c r="I1409" s="832">
        <f>SUM(I1349:I1408)</f>
        <v>0</v>
      </c>
      <c r="J1409" s="832"/>
      <c r="K1409" s="832"/>
      <c r="L1409" s="832"/>
      <c r="M1409" s="832"/>
      <c r="N1409" s="832"/>
      <c r="O1409" s="4"/>
    </row>
    <row r="1410" spans="1:16" ht="12.75" customHeight="1">
      <c r="D1410" s="67"/>
      <c r="E1410" s="4"/>
      <c r="F1410" s="4"/>
      <c r="G1410" s="4"/>
      <c r="H1410" s="831"/>
      <c r="I1410" s="831"/>
      <c r="J1410" s="832"/>
      <c r="K1410" s="831"/>
      <c r="L1410" s="831"/>
      <c r="M1410" s="831"/>
      <c r="N1410" s="831"/>
      <c r="O1410" s="4"/>
    </row>
    <row r="1411" spans="1:16" ht="12.75" customHeight="1">
      <c r="C1411" s="4" t="s">
        <v>601</v>
      </c>
      <c r="D1411" s="67"/>
      <c r="E1411" s="4"/>
      <c r="F1411" s="4"/>
      <c r="G1411" s="4"/>
      <c r="H1411" s="831"/>
      <c r="I1411" s="831"/>
      <c r="J1411" s="832"/>
      <c r="K1411" s="831"/>
      <c r="L1411" s="831"/>
      <c r="M1411" s="831"/>
      <c r="N1411" s="831"/>
      <c r="O1411" s="4"/>
    </row>
    <row r="1412" spans="1:16" ht="12.75" customHeight="1">
      <c r="D1412" s="67"/>
      <c r="E1412" s="4"/>
      <c r="F1412" s="4"/>
      <c r="G1412" s="4"/>
      <c r="H1412" s="831"/>
      <c r="I1412" s="831"/>
      <c r="J1412" s="832"/>
      <c r="K1412" s="831"/>
      <c r="L1412" s="831"/>
      <c r="M1412" s="831"/>
      <c r="N1412" s="831"/>
      <c r="O1412" s="4"/>
    </row>
    <row r="1413" spans="1:16" ht="12.75" customHeight="1">
      <c r="C1413" s="4" t="s">
        <v>602</v>
      </c>
      <c r="D1413" s="412"/>
      <c r="E1413" s="412"/>
      <c r="F1413" s="412"/>
      <c r="G1413" s="832"/>
      <c r="H1413" s="832"/>
      <c r="I1413" s="414"/>
      <c r="J1413" s="414"/>
      <c r="K1413" s="414"/>
      <c r="L1413" s="414"/>
      <c r="M1413" s="414"/>
      <c r="N1413" s="414"/>
      <c r="O1413" s="4"/>
    </row>
    <row r="1414" spans="1:16" ht="12.75" customHeight="1">
      <c r="C1414" s="4" t="s">
        <v>476</v>
      </c>
      <c r="D1414" s="412"/>
      <c r="E1414" s="412"/>
      <c r="F1414" s="412"/>
      <c r="G1414" s="832"/>
      <c r="H1414" s="832"/>
      <c r="I1414" s="414"/>
      <c r="J1414" s="414"/>
      <c r="K1414" s="414"/>
      <c r="L1414" s="414"/>
      <c r="M1414" s="414"/>
      <c r="N1414" s="414"/>
      <c r="O1414" s="4"/>
    </row>
    <row r="1415" spans="1:16" ht="12.75" customHeight="1">
      <c r="C1415" s="4" t="s">
        <v>289</v>
      </c>
      <c r="D1415" s="412"/>
      <c r="E1415" s="412"/>
      <c r="F1415" s="412"/>
      <c r="G1415" s="832"/>
      <c r="H1415" s="832"/>
      <c r="I1415" s="414"/>
      <c r="J1415" s="414"/>
      <c r="K1415" s="414"/>
      <c r="L1415" s="414"/>
      <c r="M1415" s="414"/>
      <c r="N1415" s="414"/>
      <c r="O1415" s="4"/>
    </row>
    <row r="1416" spans="1:16" ht="12.75" customHeight="1">
      <c r="C1416" s="413"/>
      <c r="D1416" s="412"/>
      <c r="E1416" s="412"/>
      <c r="F1416" s="412"/>
      <c r="G1416" s="832"/>
      <c r="H1416" s="832"/>
      <c r="I1416" s="414"/>
      <c r="J1416" s="414"/>
      <c r="K1416" s="414"/>
      <c r="L1416" s="414"/>
      <c r="M1416" s="414"/>
      <c r="N1416" s="414"/>
      <c r="O1416" s="4"/>
    </row>
    <row r="1417" spans="1:16" ht="12.75" customHeight="1">
      <c r="C1417" s="1279" t="s">
        <v>460</v>
      </c>
      <c r="D1417" s="1279"/>
      <c r="E1417" s="1279"/>
      <c r="F1417" s="1279"/>
      <c r="G1417" s="1279"/>
      <c r="H1417" s="1279"/>
      <c r="I1417" s="1279"/>
      <c r="J1417" s="1279"/>
      <c r="K1417" s="1279"/>
      <c r="L1417" s="1279"/>
      <c r="M1417" s="1279"/>
      <c r="N1417" s="1279"/>
      <c r="O1417" s="1279"/>
    </row>
    <row r="1418" spans="1:16" ht="12.75" customHeight="1">
      <c r="C1418" s="1279"/>
      <c r="D1418" s="1279"/>
      <c r="E1418" s="1279"/>
      <c r="F1418" s="1279"/>
      <c r="G1418" s="1279"/>
      <c r="H1418" s="1279"/>
      <c r="I1418" s="1279"/>
      <c r="J1418" s="1279"/>
      <c r="K1418" s="1279"/>
      <c r="L1418" s="1279"/>
      <c r="M1418" s="1279"/>
      <c r="N1418" s="1279"/>
      <c r="O1418" s="1279"/>
    </row>
    <row r="1419" spans="1:16" ht="20.25">
      <c r="A1419" s="352" t="s">
        <v>929</v>
      </c>
      <c r="B1419" s="4"/>
      <c r="C1419" s="4"/>
      <c r="D1419" s="67"/>
      <c r="E1419" s="4"/>
      <c r="F1419" s="394"/>
      <c r="G1419" s="4"/>
      <c r="H1419" s="831"/>
      <c r="K1419" s="353"/>
      <c r="L1419" s="353"/>
      <c r="M1419" s="353"/>
      <c r="N1419" s="353" t="str">
        <f>"Page "&amp;SUM(P$6:P1419)&amp;" of "</f>
        <v xml:space="preserve">Page 17 of </v>
      </c>
      <c r="O1419" s="354">
        <f>COUNT(P$6:P$59606)</f>
        <v>18</v>
      </c>
      <c r="P1419">
        <v>1</v>
      </c>
    </row>
    <row r="1420" spans="1:16" ht="12.75" customHeight="1">
      <c r="B1420" s="4"/>
      <c r="C1420" s="4"/>
      <c r="D1420" s="67"/>
      <c r="E1420" s="4"/>
      <c r="F1420" s="4"/>
      <c r="G1420" s="4"/>
      <c r="H1420" s="831"/>
      <c r="I1420" s="4"/>
      <c r="J1420" s="4"/>
      <c r="K1420" s="4"/>
      <c r="L1420" s="4"/>
      <c r="M1420" s="4"/>
      <c r="N1420" s="4"/>
      <c r="O1420" s="4"/>
    </row>
    <row r="1421" spans="1:16" ht="12.75" customHeight="1">
      <c r="B1421" s="355" t="s">
        <v>174</v>
      </c>
      <c r="C1421" s="415" t="s">
        <v>290</v>
      </c>
      <c r="D1421" s="67"/>
      <c r="E1421" s="4"/>
      <c r="F1421" s="4"/>
      <c r="G1421" s="4"/>
      <c r="H1421" s="831"/>
      <c r="I1421" s="831"/>
      <c r="J1421" s="832"/>
      <c r="K1421" s="831"/>
      <c r="L1421" s="831"/>
      <c r="M1421" s="831"/>
      <c r="N1421" s="831"/>
      <c r="O1421" s="4"/>
    </row>
    <row r="1422" spans="1:16" ht="12.75" customHeight="1">
      <c r="B1422" s="355"/>
      <c r="C1422" s="11"/>
      <c r="D1422" s="67"/>
      <c r="E1422" s="4"/>
      <c r="F1422" s="4"/>
      <c r="G1422" s="4"/>
      <c r="H1422" s="831"/>
      <c r="I1422" s="831"/>
      <c r="J1422" s="832"/>
      <c r="K1422" s="831"/>
      <c r="L1422" s="831"/>
      <c r="M1422" s="831"/>
      <c r="N1422" s="831"/>
      <c r="O1422" s="4"/>
    </row>
    <row r="1423" spans="1:16" ht="12.75" customHeight="1">
      <c r="B1423" s="355"/>
      <c r="C1423" s="11" t="s">
        <v>291</v>
      </c>
      <c r="D1423" s="67"/>
      <c r="E1423" s="4"/>
      <c r="F1423" s="4"/>
      <c r="G1423" s="4"/>
      <c r="H1423" s="831"/>
      <c r="I1423" s="831"/>
      <c r="J1423" s="832"/>
      <c r="K1423" s="831"/>
      <c r="L1423" s="831"/>
      <c r="M1423" s="831"/>
      <c r="N1423" s="831"/>
      <c r="O1423" s="4"/>
    </row>
    <row r="1424" spans="1:16" ht="12.75" customHeight="1" thickBot="1">
      <c r="C1424" s="203"/>
      <c r="D1424" s="67"/>
      <c r="E1424" s="4"/>
      <c r="F1424" s="4"/>
      <c r="G1424" s="4"/>
      <c r="H1424" s="831"/>
      <c r="I1424" s="831"/>
      <c r="J1424" s="832"/>
      <c r="K1424" s="831"/>
      <c r="L1424" s="831"/>
      <c r="M1424" s="831"/>
      <c r="N1424" s="831"/>
      <c r="O1424" s="4"/>
    </row>
    <row r="1425" spans="1:15" ht="12.75" customHeight="1">
      <c r="C1425" s="356" t="s">
        <v>292</v>
      </c>
      <c r="D1425" s="67"/>
      <c r="E1425" s="4"/>
      <c r="F1425" s="4"/>
      <c r="G1425" s="833"/>
      <c r="H1425" s="4" t="s">
        <v>271</v>
      </c>
      <c r="I1425" s="4"/>
      <c r="J1425" s="4"/>
      <c r="K1425" s="416" t="s">
        <v>296</v>
      </c>
      <c r="L1425" s="417"/>
      <c r="M1425" s="418"/>
      <c r="N1425" s="834">
        <f>VLOOKUP(I1431,C1438:O1497,5)</f>
        <v>408376.35612975364</v>
      </c>
      <c r="O1425" s="4"/>
    </row>
    <row r="1426" spans="1:15" ht="12.75" customHeight="1">
      <c r="C1426" s="356"/>
      <c r="D1426" s="67"/>
      <c r="E1426" s="4"/>
      <c r="F1426" s="4"/>
      <c r="G1426" s="4"/>
      <c r="H1426" s="835"/>
      <c r="I1426" s="835"/>
      <c r="J1426" s="836"/>
      <c r="K1426" s="421" t="s">
        <v>297</v>
      </c>
      <c r="L1426" s="837"/>
      <c r="M1426" s="4"/>
      <c r="N1426" s="838">
        <f>VLOOKUP(I1431,C1438:O1497,6)</f>
        <v>408376.35612975364</v>
      </c>
      <c r="O1426" s="4"/>
    </row>
    <row r="1427" spans="1:15" ht="12.75" customHeight="1" thickBot="1">
      <c r="C1427" s="422" t="s">
        <v>293</v>
      </c>
      <c r="D1427" s="1288" t="s">
        <v>1206</v>
      </c>
      <c r="E1427" s="1288"/>
      <c r="F1427" s="1288"/>
      <c r="G1427" s="1288"/>
      <c r="H1427" s="1288"/>
      <c r="I1427" s="831"/>
      <c r="J1427" s="832"/>
      <c r="K1427" s="839" t="s">
        <v>450</v>
      </c>
      <c r="L1427" s="840"/>
      <c r="M1427" s="840"/>
      <c r="N1427" s="841">
        <f>+N1426-N1425</f>
        <v>0</v>
      </c>
      <c r="O1427" s="4"/>
    </row>
    <row r="1428" spans="1:15" ht="12.75" customHeight="1">
      <c r="C1428" s="424"/>
      <c r="D1428" s="1288"/>
      <c r="E1428" s="1288"/>
      <c r="F1428" s="1288"/>
      <c r="G1428" s="1288"/>
      <c r="H1428" s="1288"/>
      <c r="I1428" s="831"/>
      <c r="J1428" s="832"/>
      <c r="K1428" s="831"/>
      <c r="L1428" s="831"/>
      <c r="M1428" s="831"/>
      <c r="N1428" s="831"/>
      <c r="O1428" s="4"/>
    </row>
    <row r="1429" spans="1:15" ht="12.75" customHeight="1" thickBot="1">
      <c r="C1429" s="424"/>
      <c r="D1429" s="4"/>
      <c r="E1429" s="426"/>
      <c r="F1429" s="426"/>
      <c r="G1429" s="426"/>
      <c r="H1429" s="426"/>
      <c r="I1429" s="426"/>
      <c r="J1429" s="426"/>
      <c r="K1429" s="426"/>
      <c r="L1429" s="426"/>
      <c r="M1429" s="426"/>
      <c r="N1429" s="426"/>
      <c r="O1429" s="4"/>
    </row>
    <row r="1430" spans="1:15" ht="12.75" customHeight="1" thickBot="1">
      <c r="C1430" s="427" t="s">
        <v>294</v>
      </c>
      <c r="D1430" s="428"/>
      <c r="E1430" s="428"/>
      <c r="F1430" s="428"/>
      <c r="G1430" s="428"/>
      <c r="H1430" s="428"/>
      <c r="I1430" s="429"/>
      <c r="K1430" s="4"/>
      <c r="L1430" s="4"/>
      <c r="M1430" s="4"/>
      <c r="N1430" s="4"/>
      <c r="O1430" s="4"/>
    </row>
    <row r="1431" spans="1:15" ht="12.75" customHeight="1">
      <c r="C1431" s="430" t="s">
        <v>272</v>
      </c>
      <c r="D1431" s="842">
        <v>3045418.2463565208</v>
      </c>
      <c r="E1431" s="4" t="s">
        <v>273</v>
      </c>
      <c r="G1431" s="67"/>
      <c r="H1431" s="67"/>
      <c r="I1431" s="431">
        <f>$L$26</f>
        <v>2026</v>
      </c>
      <c r="J1431" s="114"/>
      <c r="K1431" s="1278" t="s">
        <v>459</v>
      </c>
      <c r="L1431" s="1278"/>
      <c r="M1431" s="1278"/>
      <c r="N1431" s="1278"/>
      <c r="O1431" s="1278"/>
    </row>
    <row r="1432" spans="1:15" ht="12.75" customHeight="1">
      <c r="C1432" s="430" t="s">
        <v>275</v>
      </c>
      <c r="D1432" s="879">
        <v>2026</v>
      </c>
      <c r="E1432" s="430" t="s">
        <v>276</v>
      </c>
      <c r="F1432" s="67"/>
      <c r="I1432" s="564">
        <f>IF(G1425="",0,$F$15)</f>
        <v>0</v>
      </c>
      <c r="J1432" s="432"/>
      <c r="K1432" s="832" t="s">
        <v>459</v>
      </c>
    </row>
    <row r="1433" spans="1:15" ht="12.75" customHeight="1">
      <c r="C1433" s="430" t="s">
        <v>277</v>
      </c>
      <c r="D1433" s="842">
        <v>1</v>
      </c>
      <c r="E1433" s="430" t="s">
        <v>278</v>
      </c>
      <c r="F1433" s="67"/>
      <c r="I1433" s="433">
        <f>$G$70</f>
        <v>0.1119061905251431</v>
      </c>
      <c r="J1433" s="394"/>
      <c r="K1433" t="str">
        <f>"          INPUT PROJECTED ARR (WITH &amp; WITHOUT INCENTIVES) FROM EACH PRIOR YEAR"</f>
        <v xml:space="preserve">          INPUT PROJECTED ARR (WITH &amp; WITHOUT INCENTIVES) FROM EACH PRIOR YEAR</v>
      </c>
    </row>
    <row r="1434" spans="1:15" ht="12.75" customHeight="1">
      <c r="C1434" s="430" t="s">
        <v>279</v>
      </c>
      <c r="D1434" s="434">
        <f>G$79</f>
        <v>39</v>
      </c>
      <c r="E1434" s="430" t="s">
        <v>280</v>
      </c>
      <c r="F1434" s="67"/>
      <c r="I1434" s="433">
        <f>IF(G1425="",I1433,$G$67)</f>
        <v>0.1119061905251431</v>
      </c>
      <c r="J1434" s="394"/>
      <c r="K1434" t="s">
        <v>357</v>
      </c>
    </row>
    <row r="1435" spans="1:15" ht="12.75" customHeight="1" thickBot="1">
      <c r="C1435" s="430" t="s">
        <v>281</v>
      </c>
      <c r="D1435" s="563" t="s">
        <v>931</v>
      </c>
      <c r="E1435" s="435" t="s">
        <v>282</v>
      </c>
      <c r="F1435" s="436"/>
      <c r="G1435" s="437"/>
      <c r="H1435" s="437"/>
      <c r="I1435" s="841">
        <f>IF(D1431=0,0,D1431/D1434)</f>
        <v>78087.647342474898</v>
      </c>
      <c r="J1435" s="832"/>
      <c r="K1435" s="832" t="s">
        <v>363</v>
      </c>
      <c r="L1435" s="832"/>
      <c r="M1435" s="832"/>
      <c r="N1435" s="832"/>
      <c r="O1435" s="4"/>
    </row>
    <row r="1436" spans="1:15" ht="12.75" customHeight="1">
      <c r="A1436" s="322"/>
      <c r="B1436" s="322"/>
      <c r="C1436" s="438" t="s">
        <v>272</v>
      </c>
      <c r="D1436" s="844" t="s">
        <v>283</v>
      </c>
      <c r="E1436" s="845" t="s">
        <v>284</v>
      </c>
      <c r="F1436" s="844" t="s">
        <v>285</v>
      </c>
      <c r="G1436" s="845" t="s">
        <v>356</v>
      </c>
      <c r="H1436" s="846" t="s">
        <v>356</v>
      </c>
      <c r="I1436" s="438" t="s">
        <v>295</v>
      </c>
      <c r="J1436" s="442"/>
      <c r="K1436" s="845" t="s">
        <v>365</v>
      </c>
      <c r="L1436" s="847"/>
      <c r="M1436" s="845" t="s">
        <v>365</v>
      </c>
      <c r="N1436" s="847"/>
      <c r="O1436" s="847"/>
    </row>
    <row r="1437" spans="1:15" ht="12.75" customHeight="1" thickBot="1">
      <c r="C1437" s="444" t="s">
        <v>177</v>
      </c>
      <c r="D1437" s="445" t="s">
        <v>178</v>
      </c>
      <c r="E1437" s="444" t="s">
        <v>37</v>
      </c>
      <c r="F1437" s="445" t="s">
        <v>178</v>
      </c>
      <c r="G1437" s="848" t="s">
        <v>298</v>
      </c>
      <c r="H1437" s="849" t="s">
        <v>300</v>
      </c>
      <c r="I1437" s="444" t="s">
        <v>389</v>
      </c>
      <c r="J1437" s="448"/>
      <c r="K1437" s="848" t="s">
        <v>287</v>
      </c>
      <c r="L1437" s="850"/>
      <c r="M1437" s="848" t="s">
        <v>300</v>
      </c>
      <c r="N1437" s="850"/>
      <c r="O1437" s="850"/>
    </row>
    <row r="1438" spans="1:15" ht="12.75" customHeight="1">
      <c r="C1438" s="855">
        <f>IF(D1432= "","-",D1432)</f>
        <v>2026</v>
      </c>
      <c r="D1438" s="412">
        <f>+D1431</f>
        <v>3045418.2463565208</v>
      </c>
      <c r="E1438" s="851">
        <f>+I1435/12*(12-D1433)</f>
        <v>71580.343397268647</v>
      </c>
      <c r="F1438" s="412">
        <f>+D1438-E1438</f>
        <v>2973837.9029592522</v>
      </c>
      <c r="G1438" s="858">
        <f>+$I$1344*((D1438+F1438)/2)+E1438</f>
        <v>408376.35612975364</v>
      </c>
      <c r="H1438" s="859">
        <f>+$I$1345*((D1438+F1438)/2)+E1438</f>
        <v>408376.35612975364</v>
      </c>
      <c r="I1438" s="453">
        <f t="shared" ref="I1438:I1497" si="95">+H1438-G1438</f>
        <v>0</v>
      </c>
      <c r="J1438" s="453"/>
      <c r="K1438" s="566">
        <v>0</v>
      </c>
      <c r="L1438" s="455"/>
      <c r="M1438" s="566">
        <v>0</v>
      </c>
      <c r="N1438" s="455"/>
      <c r="O1438" s="455"/>
    </row>
    <row r="1439" spans="1:15" ht="12.75" customHeight="1">
      <c r="C1439" s="449">
        <f>IF(D1432="","-",+C1438+1)</f>
        <v>2027</v>
      </c>
      <c r="D1439" s="856">
        <f>F1438</f>
        <v>2973837.9029592522</v>
      </c>
      <c r="E1439" s="857">
        <f>IF(D1439&gt;$I$1435,$I$1435,D1439)</f>
        <v>78087.647342474898</v>
      </c>
      <c r="F1439" s="856">
        <f>+D1439-E1439</f>
        <v>2895750.2556167776</v>
      </c>
      <c r="G1439" s="858">
        <f t="shared" ref="G1439:G1497" si="96">+$I$1344*((D1439+F1439)/2)+E1439</f>
        <v>406509.27273134142</v>
      </c>
      <c r="H1439" s="859">
        <f t="shared" ref="H1439:H1497" si="97">+$I$1345*((D1439+F1439)/2)+E1439</f>
        <v>406509.27273134142</v>
      </c>
      <c r="I1439" s="865">
        <f t="shared" si="95"/>
        <v>0</v>
      </c>
      <c r="J1439" s="453"/>
      <c r="K1439" s="566"/>
      <c r="L1439" s="459"/>
      <c r="M1439" s="566"/>
      <c r="N1439" s="459"/>
      <c r="O1439" s="459"/>
    </row>
    <row r="1440" spans="1:15" ht="12.75" customHeight="1">
      <c r="C1440" s="449">
        <f>IF(D1432="","-",+C1439+1)</f>
        <v>2028</v>
      </c>
      <c r="D1440" s="856">
        <f t="shared" ref="D1440:D1497" si="98">F1439</f>
        <v>2895750.2556167776</v>
      </c>
      <c r="E1440" s="857">
        <f t="shared" ref="E1440:E1497" si="99">IF(D1440&gt;$I$1435,$I$1435,D1440)</f>
        <v>78087.647342474898</v>
      </c>
      <c r="F1440" s="856">
        <f t="shared" ref="F1440:F1497" si="100">+D1440-E1440</f>
        <v>2817662.6082743024</v>
      </c>
      <c r="G1440" s="858">
        <f t="shared" si="96"/>
        <v>397770.78159017424</v>
      </c>
      <c r="H1440" s="859">
        <f t="shared" si="97"/>
        <v>397770.78159017424</v>
      </c>
      <c r="I1440" s="453">
        <f t="shared" si="95"/>
        <v>0</v>
      </c>
      <c r="J1440" s="453"/>
      <c r="K1440" s="566"/>
      <c r="L1440" s="864"/>
      <c r="M1440" s="566"/>
      <c r="N1440" s="459"/>
      <c r="O1440" s="459"/>
    </row>
    <row r="1441" spans="3:15" ht="12.75" customHeight="1">
      <c r="C1441" s="449">
        <f>IF(D1432="","-",+C1440+1)</f>
        <v>2029</v>
      </c>
      <c r="D1441" s="856">
        <f t="shared" si="98"/>
        <v>2817662.6082743024</v>
      </c>
      <c r="E1441" s="857">
        <f t="shared" si="99"/>
        <v>78087.647342474898</v>
      </c>
      <c r="F1441" s="856">
        <f t="shared" si="100"/>
        <v>2739574.9609318273</v>
      </c>
      <c r="G1441" s="858">
        <f t="shared" si="96"/>
        <v>389032.29044900701</v>
      </c>
      <c r="H1441" s="859">
        <f t="shared" si="97"/>
        <v>389032.29044900701</v>
      </c>
      <c r="I1441" s="453">
        <f t="shared" si="95"/>
        <v>0</v>
      </c>
      <c r="J1441" s="453"/>
      <c r="K1441" s="566"/>
      <c r="L1441" s="459"/>
      <c r="M1441" s="566"/>
      <c r="N1441" s="459"/>
      <c r="O1441" s="459"/>
    </row>
    <row r="1442" spans="3:15" ht="12.75" customHeight="1">
      <c r="C1442" s="449">
        <f>IF(D1432="","-",+C1441+1)</f>
        <v>2030</v>
      </c>
      <c r="D1442" s="856">
        <f t="shared" si="98"/>
        <v>2739574.9609318273</v>
      </c>
      <c r="E1442" s="857">
        <f t="shared" si="99"/>
        <v>78087.647342474898</v>
      </c>
      <c r="F1442" s="856">
        <f t="shared" si="100"/>
        <v>2661487.3135893522</v>
      </c>
      <c r="G1442" s="858">
        <f t="shared" si="96"/>
        <v>380293.79930783983</v>
      </c>
      <c r="H1442" s="859">
        <f t="shared" si="97"/>
        <v>380293.79930783983</v>
      </c>
      <c r="I1442" s="453">
        <f t="shared" si="95"/>
        <v>0</v>
      </c>
      <c r="J1442" s="453"/>
      <c r="K1442" s="566"/>
      <c r="L1442" s="459"/>
      <c r="M1442" s="566"/>
      <c r="N1442" s="459"/>
      <c r="O1442" s="459"/>
    </row>
    <row r="1443" spans="3:15" ht="12.75" customHeight="1">
      <c r="C1443" s="449">
        <f>IF(D1432="","-",+C1442+1)</f>
        <v>2031</v>
      </c>
      <c r="D1443" s="856">
        <f t="shared" si="98"/>
        <v>2661487.3135893522</v>
      </c>
      <c r="E1443" s="857">
        <f t="shared" si="99"/>
        <v>78087.647342474898</v>
      </c>
      <c r="F1443" s="856">
        <f t="shared" si="100"/>
        <v>2583399.6662468771</v>
      </c>
      <c r="G1443" s="858">
        <f t="shared" si="96"/>
        <v>371555.30816667259</v>
      </c>
      <c r="H1443" s="859">
        <f t="shared" si="97"/>
        <v>371555.30816667259</v>
      </c>
      <c r="I1443" s="453">
        <f t="shared" si="95"/>
        <v>0</v>
      </c>
      <c r="J1443" s="453"/>
      <c r="K1443" s="566"/>
      <c r="L1443" s="459"/>
      <c r="M1443" s="566"/>
      <c r="N1443" s="459"/>
      <c r="O1443" s="459"/>
    </row>
    <row r="1444" spans="3:15" ht="12.75" customHeight="1">
      <c r="C1444" s="449">
        <f>IF(D1432="","-",+C1443+1)</f>
        <v>2032</v>
      </c>
      <c r="D1444" s="856">
        <f t="shared" si="98"/>
        <v>2583399.6662468771</v>
      </c>
      <c r="E1444" s="857">
        <f t="shared" si="99"/>
        <v>78087.647342474898</v>
      </c>
      <c r="F1444" s="856">
        <f t="shared" si="100"/>
        <v>2505312.0189044019</v>
      </c>
      <c r="G1444" s="858">
        <f t="shared" si="96"/>
        <v>362816.81702550541</v>
      </c>
      <c r="H1444" s="859">
        <f t="shared" si="97"/>
        <v>362816.81702550541</v>
      </c>
      <c r="I1444" s="453">
        <f t="shared" si="95"/>
        <v>0</v>
      </c>
      <c r="J1444" s="453"/>
      <c r="K1444" s="566"/>
      <c r="L1444" s="459"/>
      <c r="M1444" s="566"/>
      <c r="N1444" s="459"/>
      <c r="O1444" s="459"/>
    </row>
    <row r="1445" spans="3:15" ht="12.75" customHeight="1">
      <c r="C1445" s="449">
        <f>IF(D1432="","-",+C1444+1)</f>
        <v>2033</v>
      </c>
      <c r="D1445" s="856">
        <f t="shared" si="98"/>
        <v>2505312.0189044019</v>
      </c>
      <c r="E1445" s="857">
        <f t="shared" si="99"/>
        <v>78087.647342474898</v>
      </c>
      <c r="F1445" s="856">
        <f t="shared" si="100"/>
        <v>2427224.3715619268</v>
      </c>
      <c r="G1445" s="858">
        <f t="shared" si="96"/>
        <v>354078.32588433818</v>
      </c>
      <c r="H1445" s="859">
        <f t="shared" si="97"/>
        <v>354078.32588433818</v>
      </c>
      <c r="I1445" s="865">
        <f t="shared" si="95"/>
        <v>0</v>
      </c>
      <c r="J1445" s="453"/>
      <c r="K1445" s="566"/>
      <c r="L1445" s="459"/>
      <c r="M1445" s="566"/>
      <c r="N1445" s="459"/>
      <c r="O1445" s="459"/>
    </row>
    <row r="1446" spans="3:15" ht="12.75" customHeight="1">
      <c r="C1446" s="449">
        <f>IF(D1432="","-",+C1445+1)</f>
        <v>2034</v>
      </c>
      <c r="D1446" s="856">
        <f t="shared" si="98"/>
        <v>2427224.3715619268</v>
      </c>
      <c r="E1446" s="857">
        <f t="shared" si="99"/>
        <v>78087.647342474898</v>
      </c>
      <c r="F1446" s="856">
        <f t="shared" si="100"/>
        <v>2349136.7242194517</v>
      </c>
      <c r="G1446" s="858">
        <f t="shared" si="96"/>
        <v>345339.834743171</v>
      </c>
      <c r="H1446" s="859">
        <f t="shared" si="97"/>
        <v>345339.834743171</v>
      </c>
      <c r="I1446" s="453">
        <f t="shared" si="95"/>
        <v>0</v>
      </c>
      <c r="J1446" s="453"/>
      <c r="K1446" s="566"/>
      <c r="L1446" s="459"/>
      <c r="M1446" s="566"/>
      <c r="N1446" s="459"/>
      <c r="O1446" s="459"/>
    </row>
    <row r="1447" spans="3:15" ht="12.75" customHeight="1">
      <c r="C1447" s="449">
        <f>IF(D1432="","-",+C1446+1)</f>
        <v>2035</v>
      </c>
      <c r="D1447" s="856">
        <f t="shared" si="98"/>
        <v>2349136.7242194517</v>
      </c>
      <c r="E1447" s="857">
        <f t="shared" si="99"/>
        <v>78087.647342474898</v>
      </c>
      <c r="F1447" s="856">
        <f t="shared" si="100"/>
        <v>2271049.0768769765</v>
      </c>
      <c r="G1447" s="858">
        <f t="shared" si="96"/>
        <v>336601.34360200376</v>
      </c>
      <c r="H1447" s="859">
        <f t="shared" si="97"/>
        <v>336601.34360200376</v>
      </c>
      <c r="I1447" s="453">
        <f t="shared" si="95"/>
        <v>0</v>
      </c>
      <c r="J1447" s="453"/>
      <c r="K1447" s="566"/>
      <c r="L1447" s="459"/>
      <c r="M1447" s="566"/>
      <c r="N1447" s="459"/>
      <c r="O1447" s="459"/>
    </row>
    <row r="1448" spans="3:15" ht="12.75" customHeight="1">
      <c r="C1448" s="449">
        <f>IF(D1432="","-",+C1447+1)</f>
        <v>2036</v>
      </c>
      <c r="D1448" s="856">
        <f t="shared" si="98"/>
        <v>2271049.0768769765</v>
      </c>
      <c r="E1448" s="857">
        <f t="shared" si="99"/>
        <v>78087.647342474898</v>
      </c>
      <c r="F1448" s="856">
        <f t="shared" si="100"/>
        <v>2192961.4295345014</v>
      </c>
      <c r="G1448" s="858">
        <f t="shared" si="96"/>
        <v>327862.85246083658</v>
      </c>
      <c r="H1448" s="859">
        <f t="shared" si="97"/>
        <v>327862.85246083658</v>
      </c>
      <c r="I1448" s="453">
        <f t="shared" si="95"/>
        <v>0</v>
      </c>
      <c r="J1448" s="453"/>
      <c r="K1448" s="566"/>
      <c r="L1448" s="459"/>
      <c r="M1448" s="566"/>
      <c r="N1448" s="459"/>
      <c r="O1448" s="459"/>
    </row>
    <row r="1449" spans="3:15" ht="12.75" customHeight="1">
      <c r="C1449" s="449">
        <f>IF(D1432="","-",+C1448+1)</f>
        <v>2037</v>
      </c>
      <c r="D1449" s="856">
        <f t="shared" si="98"/>
        <v>2192961.4295345014</v>
      </c>
      <c r="E1449" s="857">
        <f t="shared" si="99"/>
        <v>78087.647342474898</v>
      </c>
      <c r="F1449" s="856">
        <f t="shared" si="100"/>
        <v>2114873.7821920263</v>
      </c>
      <c r="G1449" s="858">
        <f t="shared" si="96"/>
        <v>319124.36131966941</v>
      </c>
      <c r="H1449" s="859">
        <f t="shared" si="97"/>
        <v>319124.36131966941</v>
      </c>
      <c r="I1449" s="453">
        <f t="shared" si="95"/>
        <v>0</v>
      </c>
      <c r="J1449" s="453"/>
      <c r="K1449" s="566"/>
      <c r="L1449" s="459"/>
      <c r="M1449" s="566"/>
      <c r="N1449" s="459"/>
      <c r="O1449" s="459"/>
    </row>
    <row r="1450" spans="3:15" ht="12.75" customHeight="1">
      <c r="C1450" s="449">
        <f>IF(D1432="","-",+C1449+1)</f>
        <v>2038</v>
      </c>
      <c r="D1450" s="856">
        <f t="shared" si="98"/>
        <v>2114873.7821920263</v>
      </c>
      <c r="E1450" s="857">
        <f t="shared" si="99"/>
        <v>78087.647342474898</v>
      </c>
      <c r="F1450" s="856">
        <f t="shared" si="100"/>
        <v>2036786.1348495514</v>
      </c>
      <c r="G1450" s="858">
        <f t="shared" si="96"/>
        <v>310385.87017850217</v>
      </c>
      <c r="H1450" s="859">
        <f t="shared" si="97"/>
        <v>310385.87017850217</v>
      </c>
      <c r="I1450" s="453">
        <f t="shared" si="95"/>
        <v>0</v>
      </c>
      <c r="J1450" s="453"/>
      <c r="K1450" s="566"/>
      <c r="L1450" s="459"/>
      <c r="M1450" s="566"/>
      <c r="N1450" s="460"/>
      <c r="O1450" s="459"/>
    </row>
    <row r="1451" spans="3:15" ht="12.75" customHeight="1">
      <c r="C1451" s="449">
        <f>IF(D1432="","-",+C1450+1)</f>
        <v>2039</v>
      </c>
      <c r="D1451" s="856">
        <f t="shared" si="98"/>
        <v>2036786.1348495514</v>
      </c>
      <c r="E1451" s="857">
        <f t="shared" si="99"/>
        <v>78087.647342474898</v>
      </c>
      <c r="F1451" s="856">
        <f t="shared" si="100"/>
        <v>1958698.4875070765</v>
      </c>
      <c r="G1451" s="858">
        <f t="shared" si="96"/>
        <v>301647.37903733505</v>
      </c>
      <c r="H1451" s="859">
        <f t="shared" si="97"/>
        <v>301647.37903733505</v>
      </c>
      <c r="I1451" s="453">
        <f t="shared" si="95"/>
        <v>0</v>
      </c>
      <c r="J1451" s="453"/>
      <c r="K1451" s="566"/>
      <c r="L1451" s="459"/>
      <c r="M1451" s="566"/>
      <c r="N1451" s="459"/>
      <c r="O1451" s="459"/>
    </row>
    <row r="1452" spans="3:15" ht="12.75" customHeight="1">
      <c r="C1452" s="449">
        <f>IF(D1432="","-",+C1451+1)</f>
        <v>2040</v>
      </c>
      <c r="D1452" s="856">
        <f t="shared" si="98"/>
        <v>1958698.4875070765</v>
      </c>
      <c r="E1452" s="857">
        <f t="shared" si="99"/>
        <v>78087.647342474898</v>
      </c>
      <c r="F1452" s="856">
        <f t="shared" si="100"/>
        <v>1880610.8401646016</v>
      </c>
      <c r="G1452" s="858">
        <f t="shared" si="96"/>
        <v>292908.88789616781</v>
      </c>
      <c r="H1452" s="859">
        <f t="shared" si="97"/>
        <v>292908.88789616781</v>
      </c>
      <c r="I1452" s="453">
        <f t="shared" si="95"/>
        <v>0</v>
      </c>
      <c r="J1452" s="453"/>
      <c r="K1452" s="566"/>
      <c r="L1452" s="459"/>
      <c r="M1452" s="566"/>
      <c r="N1452" s="459"/>
      <c r="O1452" s="459"/>
    </row>
    <row r="1453" spans="3:15" ht="12.75" customHeight="1">
      <c r="C1453" s="449">
        <f>IF(D1432="","-",+C1452+1)</f>
        <v>2041</v>
      </c>
      <c r="D1453" s="856">
        <f t="shared" si="98"/>
        <v>1880610.8401646016</v>
      </c>
      <c r="E1453" s="857">
        <f t="shared" si="99"/>
        <v>78087.647342474898</v>
      </c>
      <c r="F1453" s="856">
        <f t="shared" si="100"/>
        <v>1802523.1928221267</v>
      </c>
      <c r="G1453" s="858">
        <f t="shared" si="96"/>
        <v>284170.39675500069</v>
      </c>
      <c r="H1453" s="859">
        <f t="shared" si="97"/>
        <v>284170.39675500069</v>
      </c>
      <c r="I1453" s="453">
        <f t="shared" si="95"/>
        <v>0</v>
      </c>
      <c r="J1453" s="453"/>
      <c r="K1453" s="566"/>
      <c r="L1453" s="459"/>
      <c r="M1453" s="566"/>
      <c r="N1453" s="459"/>
      <c r="O1453" s="459"/>
    </row>
    <row r="1454" spans="3:15" ht="12.75" customHeight="1">
      <c r="C1454" s="449">
        <f>IF(D1432="","-",+C1453+1)</f>
        <v>2042</v>
      </c>
      <c r="D1454" s="856">
        <f t="shared" si="98"/>
        <v>1802523.1928221267</v>
      </c>
      <c r="E1454" s="857">
        <f t="shared" si="99"/>
        <v>78087.647342474898</v>
      </c>
      <c r="F1454" s="856">
        <f t="shared" si="100"/>
        <v>1724435.5454796518</v>
      </c>
      <c r="G1454" s="858">
        <f t="shared" si="96"/>
        <v>275431.90561383346</v>
      </c>
      <c r="H1454" s="859">
        <f t="shared" si="97"/>
        <v>275431.90561383346</v>
      </c>
      <c r="I1454" s="453">
        <f t="shared" si="95"/>
        <v>0</v>
      </c>
      <c r="J1454" s="453"/>
      <c r="K1454" s="566"/>
      <c r="L1454" s="459"/>
      <c r="M1454" s="566"/>
      <c r="N1454" s="459"/>
      <c r="O1454" s="459"/>
    </row>
    <row r="1455" spans="3:15" ht="12.75" customHeight="1">
      <c r="C1455" s="449">
        <f>IF(D1432="","-",+C1454+1)</f>
        <v>2043</v>
      </c>
      <c r="D1455" s="856">
        <f t="shared" si="98"/>
        <v>1724435.5454796518</v>
      </c>
      <c r="E1455" s="857">
        <f t="shared" si="99"/>
        <v>78087.647342474898</v>
      </c>
      <c r="F1455" s="856">
        <f t="shared" si="100"/>
        <v>1646347.8981371769</v>
      </c>
      <c r="G1455" s="858">
        <f t="shared" si="96"/>
        <v>266693.41447266634</v>
      </c>
      <c r="H1455" s="859">
        <f t="shared" si="97"/>
        <v>266693.41447266634</v>
      </c>
      <c r="I1455" s="453">
        <f t="shared" si="95"/>
        <v>0</v>
      </c>
      <c r="J1455" s="453"/>
      <c r="K1455" s="566"/>
      <c r="L1455" s="459"/>
      <c r="M1455" s="566"/>
      <c r="N1455" s="459"/>
      <c r="O1455" s="459"/>
    </row>
    <row r="1456" spans="3:15" ht="12.75" customHeight="1">
      <c r="C1456" s="449">
        <f>IF(D1432="","-",+C1455+1)</f>
        <v>2044</v>
      </c>
      <c r="D1456" s="856">
        <f t="shared" si="98"/>
        <v>1646347.8981371769</v>
      </c>
      <c r="E1456" s="857">
        <f t="shared" si="99"/>
        <v>78087.647342474898</v>
      </c>
      <c r="F1456" s="856">
        <f t="shared" si="100"/>
        <v>1568260.250794702</v>
      </c>
      <c r="G1456" s="858">
        <f t="shared" si="96"/>
        <v>257954.9233314991</v>
      </c>
      <c r="H1456" s="859">
        <f t="shared" si="97"/>
        <v>257954.9233314991</v>
      </c>
      <c r="I1456" s="453">
        <f t="shared" si="95"/>
        <v>0</v>
      </c>
      <c r="J1456" s="453"/>
      <c r="K1456" s="566"/>
      <c r="L1456" s="459"/>
      <c r="M1456" s="566"/>
      <c r="N1456" s="459"/>
      <c r="O1456" s="459"/>
    </row>
    <row r="1457" spans="3:15" ht="12.75" customHeight="1">
      <c r="C1457" s="449">
        <f>IF(D1432="","-",+C1456+1)</f>
        <v>2045</v>
      </c>
      <c r="D1457" s="856">
        <f t="shared" si="98"/>
        <v>1568260.250794702</v>
      </c>
      <c r="E1457" s="857">
        <f t="shared" si="99"/>
        <v>78087.647342474898</v>
      </c>
      <c r="F1457" s="856">
        <f t="shared" si="100"/>
        <v>1490172.6034522271</v>
      </c>
      <c r="G1457" s="858">
        <f t="shared" si="96"/>
        <v>249216.43219033195</v>
      </c>
      <c r="H1457" s="859">
        <f t="shared" si="97"/>
        <v>249216.43219033195</v>
      </c>
      <c r="I1457" s="453">
        <f t="shared" si="95"/>
        <v>0</v>
      </c>
      <c r="J1457" s="453"/>
      <c r="K1457" s="566"/>
      <c r="L1457" s="459"/>
      <c r="M1457" s="566"/>
      <c r="N1457" s="459"/>
      <c r="O1457" s="459"/>
    </row>
    <row r="1458" spans="3:15" ht="12.75" customHeight="1">
      <c r="C1458" s="449">
        <f>IF(D1432="","-",+C1457+1)</f>
        <v>2046</v>
      </c>
      <c r="D1458" s="856">
        <f t="shared" si="98"/>
        <v>1490172.6034522271</v>
      </c>
      <c r="E1458" s="857">
        <f t="shared" si="99"/>
        <v>78087.647342474898</v>
      </c>
      <c r="F1458" s="856">
        <f t="shared" si="100"/>
        <v>1412084.9561097522</v>
      </c>
      <c r="G1458" s="858">
        <f t="shared" si="96"/>
        <v>240477.94104916474</v>
      </c>
      <c r="H1458" s="859">
        <f t="shared" si="97"/>
        <v>240477.94104916474</v>
      </c>
      <c r="I1458" s="453">
        <f t="shared" si="95"/>
        <v>0</v>
      </c>
      <c r="J1458" s="453"/>
      <c r="K1458" s="566"/>
      <c r="L1458" s="459"/>
      <c r="M1458" s="566"/>
      <c r="N1458" s="459"/>
      <c r="O1458" s="459"/>
    </row>
    <row r="1459" spans="3:15" ht="12.75" customHeight="1">
      <c r="C1459" s="449">
        <f>IF(D1432="","-",+C1458+1)</f>
        <v>2047</v>
      </c>
      <c r="D1459" s="856">
        <f t="shared" si="98"/>
        <v>1412084.9561097522</v>
      </c>
      <c r="E1459" s="857">
        <f t="shared" si="99"/>
        <v>78087.647342474898</v>
      </c>
      <c r="F1459" s="856">
        <f t="shared" si="100"/>
        <v>1333997.3087672773</v>
      </c>
      <c r="G1459" s="858">
        <f t="shared" si="96"/>
        <v>231739.44990799756</v>
      </c>
      <c r="H1459" s="859">
        <f t="shared" si="97"/>
        <v>231739.44990799756</v>
      </c>
      <c r="I1459" s="453">
        <f t="shared" si="95"/>
        <v>0</v>
      </c>
      <c r="J1459" s="453"/>
      <c r="K1459" s="566"/>
      <c r="L1459" s="459"/>
      <c r="M1459" s="566"/>
      <c r="N1459" s="459"/>
      <c r="O1459" s="459"/>
    </row>
    <row r="1460" spans="3:15" ht="12.75" customHeight="1">
      <c r="C1460" s="449">
        <f>IF(D1432="","-",+C1459+1)</f>
        <v>2048</v>
      </c>
      <c r="D1460" s="856">
        <f t="shared" si="98"/>
        <v>1333997.3087672773</v>
      </c>
      <c r="E1460" s="857">
        <f t="shared" si="99"/>
        <v>78087.647342474898</v>
      </c>
      <c r="F1460" s="856">
        <f t="shared" si="100"/>
        <v>1255909.6614248024</v>
      </c>
      <c r="G1460" s="858">
        <f t="shared" si="96"/>
        <v>223000.95876683039</v>
      </c>
      <c r="H1460" s="859">
        <f t="shared" si="97"/>
        <v>223000.95876683039</v>
      </c>
      <c r="I1460" s="453">
        <f t="shared" si="95"/>
        <v>0</v>
      </c>
      <c r="J1460" s="453"/>
      <c r="K1460" s="566"/>
      <c r="L1460" s="459"/>
      <c r="M1460" s="566"/>
      <c r="N1460" s="459"/>
      <c r="O1460" s="459"/>
    </row>
    <row r="1461" spans="3:15" ht="12.75" customHeight="1">
      <c r="C1461" s="449">
        <f>IF(D1432="","-",+C1460+1)</f>
        <v>2049</v>
      </c>
      <c r="D1461" s="856">
        <f t="shared" si="98"/>
        <v>1255909.6614248024</v>
      </c>
      <c r="E1461" s="857">
        <f t="shared" si="99"/>
        <v>78087.647342474898</v>
      </c>
      <c r="F1461" s="856">
        <f t="shared" si="100"/>
        <v>1177822.0140823275</v>
      </c>
      <c r="G1461" s="858">
        <f t="shared" si="96"/>
        <v>214262.46762566321</v>
      </c>
      <c r="H1461" s="859">
        <f t="shared" si="97"/>
        <v>214262.46762566321</v>
      </c>
      <c r="I1461" s="453">
        <f t="shared" si="95"/>
        <v>0</v>
      </c>
      <c r="J1461" s="453"/>
      <c r="K1461" s="566"/>
      <c r="L1461" s="459"/>
      <c r="M1461" s="566"/>
      <c r="N1461" s="459"/>
      <c r="O1461" s="459"/>
    </row>
    <row r="1462" spans="3:15" ht="12.75" customHeight="1">
      <c r="C1462" s="449">
        <f>IF(D1432="","-",+C1461+1)</f>
        <v>2050</v>
      </c>
      <c r="D1462" s="856">
        <f t="shared" si="98"/>
        <v>1177822.0140823275</v>
      </c>
      <c r="E1462" s="857">
        <f t="shared" si="99"/>
        <v>78087.647342474898</v>
      </c>
      <c r="F1462" s="856">
        <f t="shared" si="100"/>
        <v>1099734.3667398526</v>
      </c>
      <c r="G1462" s="858">
        <f t="shared" si="96"/>
        <v>205523.97648449603</v>
      </c>
      <c r="H1462" s="859">
        <f t="shared" si="97"/>
        <v>205523.97648449603</v>
      </c>
      <c r="I1462" s="453">
        <f t="shared" si="95"/>
        <v>0</v>
      </c>
      <c r="J1462" s="453"/>
      <c r="K1462" s="566"/>
      <c r="L1462" s="459"/>
      <c r="M1462" s="566"/>
      <c r="N1462" s="459"/>
      <c r="O1462" s="459"/>
    </row>
    <row r="1463" spans="3:15" ht="12.75" customHeight="1">
      <c r="C1463" s="449">
        <f>IF(D1432="","-",+C1462+1)</f>
        <v>2051</v>
      </c>
      <c r="D1463" s="856">
        <f t="shared" si="98"/>
        <v>1099734.3667398526</v>
      </c>
      <c r="E1463" s="857">
        <f t="shared" si="99"/>
        <v>78087.647342474898</v>
      </c>
      <c r="F1463" s="856">
        <f t="shared" si="100"/>
        <v>1021646.7193973777</v>
      </c>
      <c r="G1463" s="858">
        <f t="shared" si="96"/>
        <v>196785.48534332885</v>
      </c>
      <c r="H1463" s="859">
        <f t="shared" si="97"/>
        <v>196785.48534332885</v>
      </c>
      <c r="I1463" s="453">
        <f t="shared" si="95"/>
        <v>0</v>
      </c>
      <c r="J1463" s="453"/>
      <c r="K1463" s="566"/>
      <c r="L1463" s="459"/>
      <c r="M1463" s="566"/>
      <c r="N1463" s="459"/>
      <c r="O1463" s="459"/>
    </row>
    <row r="1464" spans="3:15" ht="12.75" customHeight="1">
      <c r="C1464" s="449">
        <f>IF(D1432="","-",+C1463+1)</f>
        <v>2052</v>
      </c>
      <c r="D1464" s="856">
        <f t="shared" si="98"/>
        <v>1021646.7193973777</v>
      </c>
      <c r="E1464" s="857">
        <f t="shared" si="99"/>
        <v>78087.647342474898</v>
      </c>
      <c r="F1464" s="856">
        <f t="shared" si="100"/>
        <v>943559.07205490279</v>
      </c>
      <c r="G1464" s="858">
        <f t="shared" si="96"/>
        <v>188046.99420216167</v>
      </c>
      <c r="H1464" s="859">
        <f t="shared" si="97"/>
        <v>188046.99420216167</v>
      </c>
      <c r="I1464" s="453">
        <f t="shared" si="95"/>
        <v>0</v>
      </c>
      <c r="J1464" s="453"/>
      <c r="K1464" s="566"/>
      <c r="L1464" s="459"/>
      <c r="M1464" s="566"/>
      <c r="N1464" s="459"/>
      <c r="O1464" s="459"/>
    </row>
    <row r="1465" spans="3:15" ht="12.75" customHeight="1">
      <c r="C1465" s="449">
        <f>IF(D1432="","-",+C1464+1)</f>
        <v>2053</v>
      </c>
      <c r="D1465" s="856">
        <f t="shared" si="98"/>
        <v>943559.07205490279</v>
      </c>
      <c r="E1465" s="857">
        <f t="shared" si="99"/>
        <v>78087.647342474898</v>
      </c>
      <c r="F1465" s="856">
        <f t="shared" si="100"/>
        <v>865471.42471242789</v>
      </c>
      <c r="G1465" s="858">
        <f t="shared" si="96"/>
        <v>179308.5030609945</v>
      </c>
      <c r="H1465" s="859">
        <f t="shared" si="97"/>
        <v>179308.5030609945</v>
      </c>
      <c r="I1465" s="453">
        <f t="shared" si="95"/>
        <v>0</v>
      </c>
      <c r="J1465" s="453"/>
      <c r="K1465" s="566"/>
      <c r="L1465" s="459"/>
      <c r="M1465" s="566"/>
      <c r="N1465" s="459"/>
      <c r="O1465" s="459"/>
    </row>
    <row r="1466" spans="3:15" ht="12.75" customHeight="1">
      <c r="C1466" s="449">
        <f>IF(D1432="","-",+C1465+1)</f>
        <v>2054</v>
      </c>
      <c r="D1466" s="856">
        <f t="shared" si="98"/>
        <v>865471.42471242789</v>
      </c>
      <c r="E1466" s="857">
        <f t="shared" si="99"/>
        <v>78087.647342474898</v>
      </c>
      <c r="F1466" s="856">
        <f t="shared" si="100"/>
        <v>787383.77736995299</v>
      </c>
      <c r="G1466" s="858">
        <f t="shared" si="96"/>
        <v>170570.01191982732</v>
      </c>
      <c r="H1466" s="859">
        <f t="shared" si="97"/>
        <v>170570.01191982732</v>
      </c>
      <c r="I1466" s="453">
        <f t="shared" si="95"/>
        <v>0</v>
      </c>
      <c r="J1466" s="453"/>
      <c r="K1466" s="566"/>
      <c r="L1466" s="459"/>
      <c r="M1466" s="566"/>
      <c r="N1466" s="459"/>
      <c r="O1466" s="459"/>
    </row>
    <row r="1467" spans="3:15" ht="12.75" customHeight="1">
      <c r="C1467" s="449">
        <f>IF(D1432="","-",+C1466+1)</f>
        <v>2055</v>
      </c>
      <c r="D1467" s="856">
        <f t="shared" si="98"/>
        <v>787383.77736995299</v>
      </c>
      <c r="E1467" s="857">
        <f t="shared" si="99"/>
        <v>78087.647342474898</v>
      </c>
      <c r="F1467" s="856">
        <f t="shared" si="100"/>
        <v>709296.1300274781</v>
      </c>
      <c r="G1467" s="858">
        <f t="shared" si="96"/>
        <v>161831.52077866014</v>
      </c>
      <c r="H1467" s="859">
        <f t="shared" si="97"/>
        <v>161831.52077866014</v>
      </c>
      <c r="I1467" s="453">
        <f t="shared" si="95"/>
        <v>0</v>
      </c>
      <c r="J1467" s="453"/>
      <c r="K1467" s="566"/>
      <c r="L1467" s="459"/>
      <c r="M1467" s="566"/>
      <c r="N1467" s="459"/>
      <c r="O1467" s="459"/>
    </row>
    <row r="1468" spans="3:15" ht="12.75" customHeight="1">
      <c r="C1468" s="449">
        <f>IF(D1432="","-",+C1467+1)</f>
        <v>2056</v>
      </c>
      <c r="D1468" s="856">
        <f t="shared" si="98"/>
        <v>709296.1300274781</v>
      </c>
      <c r="E1468" s="857">
        <f t="shared" si="99"/>
        <v>78087.647342474898</v>
      </c>
      <c r="F1468" s="856">
        <f t="shared" si="100"/>
        <v>631208.4826850032</v>
      </c>
      <c r="G1468" s="858">
        <f t="shared" si="96"/>
        <v>153093.02963749296</v>
      </c>
      <c r="H1468" s="859">
        <f t="shared" si="97"/>
        <v>153093.02963749296</v>
      </c>
      <c r="I1468" s="453">
        <f t="shared" si="95"/>
        <v>0</v>
      </c>
      <c r="J1468" s="453"/>
      <c r="K1468" s="566"/>
      <c r="L1468" s="459"/>
      <c r="M1468" s="566"/>
      <c r="N1468" s="459"/>
      <c r="O1468" s="459"/>
    </row>
    <row r="1469" spans="3:15" ht="12.75" customHeight="1">
      <c r="C1469" s="449">
        <f>IF(D1432="","-",+C1468+1)</f>
        <v>2057</v>
      </c>
      <c r="D1469" s="856">
        <f t="shared" si="98"/>
        <v>631208.4826850032</v>
      </c>
      <c r="E1469" s="857">
        <f t="shared" si="99"/>
        <v>78087.647342474898</v>
      </c>
      <c r="F1469" s="856">
        <f t="shared" si="100"/>
        <v>553120.8353425283</v>
      </c>
      <c r="G1469" s="858">
        <f t="shared" si="96"/>
        <v>144354.53849632578</v>
      </c>
      <c r="H1469" s="859">
        <f t="shared" si="97"/>
        <v>144354.53849632578</v>
      </c>
      <c r="I1469" s="453">
        <f t="shared" si="95"/>
        <v>0</v>
      </c>
      <c r="J1469" s="453"/>
      <c r="K1469" s="566"/>
      <c r="L1469" s="459"/>
      <c r="M1469" s="566"/>
      <c r="N1469" s="459"/>
      <c r="O1469" s="459"/>
    </row>
    <row r="1470" spans="3:15" ht="12.75" customHeight="1">
      <c r="C1470" s="449">
        <f>IF(D1432="","-",+C1469+1)</f>
        <v>2058</v>
      </c>
      <c r="D1470" s="856">
        <f t="shared" si="98"/>
        <v>553120.8353425283</v>
      </c>
      <c r="E1470" s="857">
        <f t="shared" si="99"/>
        <v>78087.647342474898</v>
      </c>
      <c r="F1470" s="856">
        <f t="shared" si="100"/>
        <v>475033.1880000534</v>
      </c>
      <c r="G1470" s="858">
        <f t="shared" si="96"/>
        <v>135616.04735515857</v>
      </c>
      <c r="H1470" s="859">
        <f t="shared" si="97"/>
        <v>135616.04735515857</v>
      </c>
      <c r="I1470" s="453">
        <f t="shared" si="95"/>
        <v>0</v>
      </c>
      <c r="J1470" s="453"/>
      <c r="K1470" s="566"/>
      <c r="L1470" s="459"/>
      <c r="M1470" s="566"/>
      <c r="N1470" s="459"/>
      <c r="O1470" s="459"/>
    </row>
    <row r="1471" spans="3:15" ht="12.75" customHeight="1">
      <c r="C1471" s="449">
        <f>IF(D1432="","-",+C1470+1)</f>
        <v>2059</v>
      </c>
      <c r="D1471" s="856">
        <f t="shared" si="98"/>
        <v>475033.1880000534</v>
      </c>
      <c r="E1471" s="857">
        <f t="shared" si="99"/>
        <v>78087.647342474898</v>
      </c>
      <c r="F1471" s="856">
        <f t="shared" si="100"/>
        <v>396945.5406575785</v>
      </c>
      <c r="G1471" s="858">
        <f t="shared" si="96"/>
        <v>126877.5562139914</v>
      </c>
      <c r="H1471" s="859">
        <f t="shared" si="97"/>
        <v>126877.5562139914</v>
      </c>
      <c r="I1471" s="453">
        <f t="shared" si="95"/>
        <v>0</v>
      </c>
      <c r="J1471" s="453"/>
      <c r="K1471" s="566"/>
      <c r="L1471" s="459"/>
      <c r="M1471" s="566"/>
      <c r="N1471" s="459"/>
      <c r="O1471" s="459"/>
    </row>
    <row r="1472" spans="3:15" ht="12.75" customHeight="1">
      <c r="C1472" s="449">
        <f>IF(D1432="","-",+C1471+1)</f>
        <v>2060</v>
      </c>
      <c r="D1472" s="856">
        <f t="shared" si="98"/>
        <v>396945.5406575785</v>
      </c>
      <c r="E1472" s="857">
        <f t="shared" si="99"/>
        <v>78087.647342474898</v>
      </c>
      <c r="F1472" s="856">
        <f t="shared" si="100"/>
        <v>318857.8933151036</v>
      </c>
      <c r="G1472" s="858">
        <f t="shared" si="96"/>
        <v>118139.06507282422</v>
      </c>
      <c r="H1472" s="859">
        <f t="shared" si="97"/>
        <v>118139.06507282422</v>
      </c>
      <c r="I1472" s="453">
        <f t="shared" si="95"/>
        <v>0</v>
      </c>
      <c r="J1472" s="453"/>
      <c r="K1472" s="566"/>
      <c r="L1472" s="459"/>
      <c r="M1472" s="566"/>
      <c r="N1472" s="459"/>
      <c r="O1472" s="459"/>
    </row>
    <row r="1473" spans="3:15" ht="12.75" customHeight="1">
      <c r="C1473" s="449">
        <f>IF(D1432="","-",+C1472+1)</f>
        <v>2061</v>
      </c>
      <c r="D1473" s="856">
        <f t="shared" si="98"/>
        <v>318857.8933151036</v>
      </c>
      <c r="E1473" s="857">
        <f t="shared" si="99"/>
        <v>78087.647342474898</v>
      </c>
      <c r="F1473" s="856">
        <f t="shared" si="100"/>
        <v>240770.24597262871</v>
      </c>
      <c r="G1473" s="858">
        <f t="shared" si="96"/>
        <v>109400.57393165704</v>
      </c>
      <c r="H1473" s="859">
        <f t="shared" si="97"/>
        <v>109400.57393165704</v>
      </c>
      <c r="I1473" s="453">
        <f t="shared" si="95"/>
        <v>0</v>
      </c>
      <c r="J1473" s="453"/>
      <c r="K1473" s="566"/>
      <c r="L1473" s="459"/>
      <c r="M1473" s="566"/>
      <c r="N1473" s="459"/>
      <c r="O1473" s="459"/>
    </row>
    <row r="1474" spans="3:15" ht="12.75" customHeight="1">
      <c r="C1474" s="449">
        <f>IF(D1432="","-",+C1473+1)</f>
        <v>2062</v>
      </c>
      <c r="D1474" s="856">
        <f t="shared" si="98"/>
        <v>240770.24597262871</v>
      </c>
      <c r="E1474" s="857">
        <f t="shared" si="99"/>
        <v>78087.647342474898</v>
      </c>
      <c r="F1474" s="856">
        <f t="shared" si="100"/>
        <v>162682.59863015381</v>
      </c>
      <c r="G1474" s="858">
        <f t="shared" si="96"/>
        <v>100662.08279048986</v>
      </c>
      <c r="H1474" s="859">
        <f t="shared" si="97"/>
        <v>100662.08279048986</v>
      </c>
      <c r="I1474" s="453">
        <f t="shared" si="95"/>
        <v>0</v>
      </c>
      <c r="J1474" s="453"/>
      <c r="K1474" s="566"/>
      <c r="L1474" s="459"/>
      <c r="M1474" s="566"/>
      <c r="N1474" s="459"/>
      <c r="O1474" s="459"/>
    </row>
    <row r="1475" spans="3:15" ht="12.75" customHeight="1">
      <c r="C1475" s="449">
        <f>IF(D1432="","-",+C1474+1)</f>
        <v>2063</v>
      </c>
      <c r="D1475" s="856">
        <f t="shared" si="98"/>
        <v>162682.59863015381</v>
      </c>
      <c r="E1475" s="857">
        <f t="shared" si="99"/>
        <v>78087.647342474898</v>
      </c>
      <c r="F1475" s="856">
        <f t="shared" si="100"/>
        <v>84594.951287678909</v>
      </c>
      <c r="G1475" s="858">
        <f t="shared" si="96"/>
        <v>91923.591649322683</v>
      </c>
      <c r="H1475" s="859">
        <f t="shared" si="97"/>
        <v>91923.591649322683</v>
      </c>
      <c r="I1475" s="453">
        <f t="shared" si="95"/>
        <v>0</v>
      </c>
      <c r="J1475" s="453"/>
      <c r="K1475" s="566"/>
      <c r="L1475" s="459"/>
      <c r="M1475" s="566"/>
      <c r="N1475" s="459"/>
      <c r="O1475" s="459"/>
    </row>
    <row r="1476" spans="3:15" ht="12.75" customHeight="1">
      <c r="C1476" s="449">
        <f>IF(D1432="","-",+C1475+1)</f>
        <v>2064</v>
      </c>
      <c r="D1476" s="856">
        <f t="shared" si="98"/>
        <v>84594.951287678909</v>
      </c>
      <c r="E1476" s="857">
        <f t="shared" si="99"/>
        <v>78087.647342474898</v>
      </c>
      <c r="F1476" s="856">
        <f t="shared" si="100"/>
        <v>6507.3039452040102</v>
      </c>
      <c r="G1476" s="858">
        <f t="shared" si="96"/>
        <v>83185.100508155505</v>
      </c>
      <c r="H1476" s="859">
        <f t="shared" si="97"/>
        <v>83185.100508155505</v>
      </c>
      <c r="I1476" s="453">
        <f t="shared" si="95"/>
        <v>0</v>
      </c>
      <c r="J1476" s="453"/>
      <c r="K1476" s="566"/>
      <c r="L1476" s="459"/>
      <c r="M1476" s="566"/>
      <c r="N1476" s="459"/>
      <c r="O1476" s="459"/>
    </row>
    <row r="1477" spans="3:15" ht="12.75" customHeight="1">
      <c r="C1477" s="449">
        <f>IF(D1432="","-",+C1476+1)</f>
        <v>2065</v>
      </c>
      <c r="D1477" s="856">
        <f t="shared" si="98"/>
        <v>6507.3039452040102</v>
      </c>
      <c r="E1477" s="857">
        <f t="shared" si="99"/>
        <v>6507.3039452040102</v>
      </c>
      <c r="F1477" s="856">
        <f t="shared" si="100"/>
        <v>0</v>
      </c>
      <c r="G1477" s="858">
        <f t="shared" si="96"/>
        <v>6871.4077427525181</v>
      </c>
      <c r="H1477" s="859">
        <f t="shared" si="97"/>
        <v>6871.4077427525181</v>
      </c>
      <c r="I1477" s="453">
        <f t="shared" si="95"/>
        <v>0</v>
      </c>
      <c r="J1477" s="453"/>
      <c r="K1477" s="566"/>
      <c r="L1477" s="459"/>
      <c r="M1477" s="566"/>
      <c r="N1477" s="459"/>
      <c r="O1477" s="459"/>
    </row>
    <row r="1478" spans="3:15" ht="12.75" customHeight="1">
      <c r="C1478" s="449">
        <f>IF(D1432="","-",+C1477+1)</f>
        <v>2066</v>
      </c>
      <c r="D1478" s="856">
        <f t="shared" si="98"/>
        <v>0</v>
      </c>
      <c r="E1478" s="857">
        <f t="shared" si="99"/>
        <v>0</v>
      </c>
      <c r="F1478" s="856">
        <f t="shared" si="100"/>
        <v>0</v>
      </c>
      <c r="G1478" s="858">
        <f t="shared" si="96"/>
        <v>0</v>
      </c>
      <c r="H1478" s="859">
        <f t="shared" si="97"/>
        <v>0</v>
      </c>
      <c r="I1478" s="453">
        <f t="shared" si="95"/>
        <v>0</v>
      </c>
      <c r="J1478" s="453"/>
      <c r="K1478" s="566"/>
      <c r="L1478" s="459"/>
      <c r="M1478" s="566"/>
      <c r="N1478" s="459"/>
      <c r="O1478" s="459"/>
    </row>
    <row r="1479" spans="3:15" ht="12.75" customHeight="1">
      <c r="C1479" s="449">
        <f>IF(D1432="","-",+C1478+1)</f>
        <v>2067</v>
      </c>
      <c r="D1479" s="856">
        <f t="shared" si="98"/>
        <v>0</v>
      </c>
      <c r="E1479" s="857">
        <f t="shared" si="99"/>
        <v>0</v>
      </c>
      <c r="F1479" s="856">
        <f t="shared" si="100"/>
        <v>0</v>
      </c>
      <c r="G1479" s="858">
        <f t="shared" si="96"/>
        <v>0</v>
      </c>
      <c r="H1479" s="859">
        <f t="shared" si="97"/>
        <v>0</v>
      </c>
      <c r="I1479" s="453">
        <f t="shared" si="95"/>
        <v>0</v>
      </c>
      <c r="J1479" s="453"/>
      <c r="K1479" s="566"/>
      <c r="L1479" s="459"/>
      <c r="M1479" s="566"/>
      <c r="N1479" s="459"/>
      <c r="O1479" s="459"/>
    </row>
    <row r="1480" spans="3:15" ht="12.75" customHeight="1">
      <c r="C1480" s="449">
        <f>IF(D1432="","-",+C1479+1)</f>
        <v>2068</v>
      </c>
      <c r="D1480" s="856">
        <f t="shared" si="98"/>
        <v>0</v>
      </c>
      <c r="E1480" s="857">
        <f t="shared" si="99"/>
        <v>0</v>
      </c>
      <c r="F1480" s="856">
        <f t="shared" si="100"/>
        <v>0</v>
      </c>
      <c r="G1480" s="858">
        <f t="shared" si="96"/>
        <v>0</v>
      </c>
      <c r="H1480" s="859">
        <f t="shared" si="97"/>
        <v>0</v>
      </c>
      <c r="I1480" s="453">
        <f t="shared" si="95"/>
        <v>0</v>
      </c>
      <c r="J1480" s="453"/>
      <c r="K1480" s="566"/>
      <c r="L1480" s="459"/>
      <c r="M1480" s="566"/>
      <c r="N1480" s="459"/>
      <c r="O1480" s="459"/>
    </row>
    <row r="1481" spans="3:15" ht="12.75" customHeight="1">
      <c r="C1481" s="449">
        <f>IF(D1432="","-",+C1480+1)</f>
        <v>2069</v>
      </c>
      <c r="D1481" s="856">
        <f t="shared" si="98"/>
        <v>0</v>
      </c>
      <c r="E1481" s="857">
        <f t="shared" si="99"/>
        <v>0</v>
      </c>
      <c r="F1481" s="856">
        <f t="shared" si="100"/>
        <v>0</v>
      </c>
      <c r="G1481" s="858">
        <f t="shared" si="96"/>
        <v>0</v>
      </c>
      <c r="H1481" s="859">
        <f t="shared" si="97"/>
        <v>0</v>
      </c>
      <c r="I1481" s="453">
        <f t="shared" si="95"/>
        <v>0</v>
      </c>
      <c r="J1481" s="453"/>
      <c r="K1481" s="566"/>
      <c r="L1481" s="459"/>
      <c r="M1481" s="566"/>
      <c r="N1481" s="459"/>
      <c r="O1481" s="459"/>
    </row>
    <row r="1482" spans="3:15" ht="12.75" customHeight="1">
      <c r="C1482" s="449">
        <f>IF(D1432="","-",+C1481+1)</f>
        <v>2070</v>
      </c>
      <c r="D1482" s="856">
        <f t="shared" si="98"/>
        <v>0</v>
      </c>
      <c r="E1482" s="857">
        <f t="shared" si="99"/>
        <v>0</v>
      </c>
      <c r="F1482" s="856">
        <f t="shared" si="100"/>
        <v>0</v>
      </c>
      <c r="G1482" s="858">
        <f t="shared" si="96"/>
        <v>0</v>
      </c>
      <c r="H1482" s="859">
        <f t="shared" si="97"/>
        <v>0</v>
      </c>
      <c r="I1482" s="453">
        <f t="shared" si="95"/>
        <v>0</v>
      </c>
      <c r="J1482" s="453"/>
      <c r="K1482" s="566"/>
      <c r="L1482" s="459"/>
      <c r="M1482" s="566"/>
      <c r="N1482" s="459"/>
      <c r="O1482" s="459"/>
    </row>
    <row r="1483" spans="3:15" ht="12.75" customHeight="1">
      <c r="C1483" s="449">
        <f>IF(D1432="","-",+C1482+1)</f>
        <v>2071</v>
      </c>
      <c r="D1483" s="856">
        <f t="shared" si="98"/>
        <v>0</v>
      </c>
      <c r="E1483" s="857">
        <f t="shared" si="99"/>
        <v>0</v>
      </c>
      <c r="F1483" s="856">
        <f t="shared" si="100"/>
        <v>0</v>
      </c>
      <c r="G1483" s="858">
        <f t="shared" si="96"/>
        <v>0</v>
      </c>
      <c r="H1483" s="859">
        <f t="shared" si="97"/>
        <v>0</v>
      </c>
      <c r="I1483" s="453">
        <f t="shared" si="95"/>
        <v>0</v>
      </c>
      <c r="J1483" s="453"/>
      <c r="K1483" s="566"/>
      <c r="L1483" s="459"/>
      <c r="M1483" s="566"/>
      <c r="N1483" s="459"/>
      <c r="O1483" s="459"/>
    </row>
    <row r="1484" spans="3:15" ht="12.75" customHeight="1">
      <c r="C1484" s="449">
        <f>IF(D1432="","-",+C1483+1)</f>
        <v>2072</v>
      </c>
      <c r="D1484" s="856">
        <f t="shared" si="98"/>
        <v>0</v>
      </c>
      <c r="E1484" s="857">
        <f t="shared" si="99"/>
        <v>0</v>
      </c>
      <c r="F1484" s="856">
        <f t="shared" si="100"/>
        <v>0</v>
      </c>
      <c r="G1484" s="858">
        <f t="shared" si="96"/>
        <v>0</v>
      </c>
      <c r="H1484" s="859">
        <f t="shared" si="97"/>
        <v>0</v>
      </c>
      <c r="I1484" s="453">
        <f t="shared" si="95"/>
        <v>0</v>
      </c>
      <c r="J1484" s="453"/>
      <c r="K1484" s="566"/>
      <c r="L1484" s="459"/>
      <c r="M1484" s="566"/>
      <c r="N1484" s="459"/>
      <c r="O1484" s="459"/>
    </row>
    <row r="1485" spans="3:15" ht="12.75" customHeight="1">
      <c r="C1485" s="449">
        <f>IF(D1432="","-",+C1484+1)</f>
        <v>2073</v>
      </c>
      <c r="D1485" s="856">
        <f t="shared" si="98"/>
        <v>0</v>
      </c>
      <c r="E1485" s="857">
        <f t="shared" si="99"/>
        <v>0</v>
      </c>
      <c r="F1485" s="856">
        <f t="shared" si="100"/>
        <v>0</v>
      </c>
      <c r="G1485" s="858">
        <f t="shared" si="96"/>
        <v>0</v>
      </c>
      <c r="H1485" s="859">
        <f t="shared" si="97"/>
        <v>0</v>
      </c>
      <c r="I1485" s="453">
        <f t="shared" si="95"/>
        <v>0</v>
      </c>
      <c r="J1485" s="453"/>
      <c r="K1485" s="566"/>
      <c r="L1485" s="459"/>
      <c r="M1485" s="566"/>
      <c r="N1485" s="459"/>
      <c r="O1485" s="459"/>
    </row>
    <row r="1486" spans="3:15" ht="12.75" customHeight="1">
      <c r="C1486" s="449">
        <f>IF(D1432="","-",+C1485+1)</f>
        <v>2074</v>
      </c>
      <c r="D1486" s="856">
        <f t="shared" si="98"/>
        <v>0</v>
      </c>
      <c r="E1486" s="857">
        <f t="shared" si="99"/>
        <v>0</v>
      </c>
      <c r="F1486" s="856">
        <f t="shared" si="100"/>
        <v>0</v>
      </c>
      <c r="G1486" s="858">
        <f t="shared" si="96"/>
        <v>0</v>
      </c>
      <c r="H1486" s="859">
        <f t="shared" si="97"/>
        <v>0</v>
      </c>
      <c r="I1486" s="453">
        <f t="shared" si="95"/>
        <v>0</v>
      </c>
      <c r="J1486" s="453"/>
      <c r="K1486" s="566"/>
      <c r="L1486" s="459"/>
      <c r="M1486" s="566"/>
      <c r="N1486" s="459"/>
      <c r="O1486" s="459"/>
    </row>
    <row r="1487" spans="3:15" ht="12.75" customHeight="1">
      <c r="C1487" s="449">
        <f>IF(D1432="","-",+C1486+1)</f>
        <v>2075</v>
      </c>
      <c r="D1487" s="856">
        <f t="shared" si="98"/>
        <v>0</v>
      </c>
      <c r="E1487" s="857">
        <f t="shared" si="99"/>
        <v>0</v>
      </c>
      <c r="F1487" s="856">
        <f t="shared" si="100"/>
        <v>0</v>
      </c>
      <c r="G1487" s="858">
        <f t="shared" si="96"/>
        <v>0</v>
      </c>
      <c r="H1487" s="859">
        <f t="shared" si="97"/>
        <v>0</v>
      </c>
      <c r="I1487" s="453">
        <f t="shared" si="95"/>
        <v>0</v>
      </c>
      <c r="J1487" s="453"/>
      <c r="K1487" s="566"/>
      <c r="L1487" s="459"/>
      <c r="M1487" s="566"/>
      <c r="N1487" s="459"/>
      <c r="O1487" s="459"/>
    </row>
    <row r="1488" spans="3:15" ht="12.75" customHeight="1">
      <c r="C1488" s="449">
        <f>IF(D1432="","-",+C1487+1)</f>
        <v>2076</v>
      </c>
      <c r="D1488" s="856">
        <f t="shared" si="98"/>
        <v>0</v>
      </c>
      <c r="E1488" s="857">
        <f t="shared" si="99"/>
        <v>0</v>
      </c>
      <c r="F1488" s="856">
        <f t="shared" si="100"/>
        <v>0</v>
      </c>
      <c r="G1488" s="858">
        <f t="shared" si="96"/>
        <v>0</v>
      </c>
      <c r="H1488" s="859">
        <f t="shared" si="97"/>
        <v>0</v>
      </c>
      <c r="I1488" s="453">
        <f t="shared" si="95"/>
        <v>0</v>
      </c>
      <c r="J1488" s="453"/>
      <c r="K1488" s="566"/>
      <c r="L1488" s="459"/>
      <c r="M1488" s="566"/>
      <c r="N1488" s="459"/>
      <c r="O1488" s="459"/>
    </row>
    <row r="1489" spans="3:15" ht="12.75" customHeight="1">
      <c r="C1489" s="449">
        <f>IF(D1432="","-",+C1488+1)</f>
        <v>2077</v>
      </c>
      <c r="D1489" s="856">
        <f t="shared" si="98"/>
        <v>0</v>
      </c>
      <c r="E1489" s="857">
        <f t="shared" si="99"/>
        <v>0</v>
      </c>
      <c r="F1489" s="856">
        <f t="shared" si="100"/>
        <v>0</v>
      </c>
      <c r="G1489" s="858">
        <f t="shared" si="96"/>
        <v>0</v>
      </c>
      <c r="H1489" s="859">
        <f t="shared" si="97"/>
        <v>0</v>
      </c>
      <c r="I1489" s="453">
        <f t="shared" si="95"/>
        <v>0</v>
      </c>
      <c r="J1489" s="453"/>
      <c r="K1489" s="566"/>
      <c r="L1489" s="459"/>
      <c r="M1489" s="566"/>
      <c r="N1489" s="459"/>
      <c r="O1489" s="459"/>
    </row>
    <row r="1490" spans="3:15" ht="12.75" customHeight="1">
      <c r="C1490" s="449">
        <f>IF(D1432="","-",+C1489+1)</f>
        <v>2078</v>
      </c>
      <c r="D1490" s="856">
        <f t="shared" si="98"/>
        <v>0</v>
      </c>
      <c r="E1490" s="857">
        <f t="shared" si="99"/>
        <v>0</v>
      </c>
      <c r="F1490" s="856">
        <f t="shared" si="100"/>
        <v>0</v>
      </c>
      <c r="G1490" s="858">
        <f t="shared" si="96"/>
        <v>0</v>
      </c>
      <c r="H1490" s="859">
        <f t="shared" si="97"/>
        <v>0</v>
      </c>
      <c r="I1490" s="453">
        <f t="shared" si="95"/>
        <v>0</v>
      </c>
      <c r="J1490" s="453"/>
      <c r="K1490" s="566"/>
      <c r="L1490" s="459"/>
      <c r="M1490" s="566"/>
      <c r="N1490" s="459"/>
      <c r="O1490" s="459"/>
    </row>
    <row r="1491" spans="3:15" ht="12.75" customHeight="1">
      <c r="C1491" s="449">
        <f>IF(D1432="","-",+C1490+1)</f>
        <v>2079</v>
      </c>
      <c r="D1491" s="856">
        <f t="shared" si="98"/>
        <v>0</v>
      </c>
      <c r="E1491" s="857">
        <f t="shared" si="99"/>
        <v>0</v>
      </c>
      <c r="F1491" s="856">
        <f t="shared" si="100"/>
        <v>0</v>
      </c>
      <c r="G1491" s="858">
        <f t="shared" si="96"/>
        <v>0</v>
      </c>
      <c r="H1491" s="859">
        <f t="shared" si="97"/>
        <v>0</v>
      </c>
      <c r="I1491" s="453">
        <f t="shared" si="95"/>
        <v>0</v>
      </c>
      <c r="J1491" s="453"/>
      <c r="K1491" s="566"/>
      <c r="L1491" s="459"/>
      <c r="M1491" s="566"/>
      <c r="N1491" s="459"/>
      <c r="O1491" s="459"/>
    </row>
    <row r="1492" spans="3:15" ht="12.75" customHeight="1">
      <c r="C1492" s="449">
        <f>IF(D1432="","-",+C1491+1)</f>
        <v>2080</v>
      </c>
      <c r="D1492" s="856">
        <f t="shared" si="98"/>
        <v>0</v>
      </c>
      <c r="E1492" s="857">
        <f t="shared" si="99"/>
        <v>0</v>
      </c>
      <c r="F1492" s="856">
        <f t="shared" si="100"/>
        <v>0</v>
      </c>
      <c r="G1492" s="858">
        <f t="shared" si="96"/>
        <v>0</v>
      </c>
      <c r="H1492" s="859">
        <f t="shared" si="97"/>
        <v>0</v>
      </c>
      <c r="I1492" s="453">
        <f t="shared" si="95"/>
        <v>0</v>
      </c>
      <c r="J1492" s="453"/>
      <c r="K1492" s="566"/>
      <c r="L1492" s="459"/>
      <c r="M1492" s="566"/>
      <c r="N1492" s="459"/>
      <c r="O1492" s="459"/>
    </row>
    <row r="1493" spans="3:15" ht="12.75" customHeight="1">
      <c r="C1493" s="449">
        <f>IF(D1432="","-",+C1492+1)</f>
        <v>2081</v>
      </c>
      <c r="D1493" s="856">
        <f t="shared" si="98"/>
        <v>0</v>
      </c>
      <c r="E1493" s="857">
        <f t="shared" si="99"/>
        <v>0</v>
      </c>
      <c r="F1493" s="856">
        <f t="shared" si="100"/>
        <v>0</v>
      </c>
      <c r="G1493" s="858">
        <f t="shared" si="96"/>
        <v>0</v>
      </c>
      <c r="H1493" s="859">
        <f t="shared" si="97"/>
        <v>0</v>
      </c>
      <c r="I1493" s="453">
        <f t="shared" si="95"/>
        <v>0</v>
      </c>
      <c r="J1493" s="453"/>
      <c r="K1493" s="566"/>
      <c r="L1493" s="459"/>
      <c r="M1493" s="566"/>
      <c r="N1493" s="459"/>
      <c r="O1493" s="459"/>
    </row>
    <row r="1494" spans="3:15" ht="12.75" customHeight="1">
      <c r="C1494" s="449">
        <f>IF(D1432="","-",+C1493+1)</f>
        <v>2082</v>
      </c>
      <c r="D1494" s="856">
        <f t="shared" si="98"/>
        <v>0</v>
      </c>
      <c r="E1494" s="857">
        <f t="shared" si="99"/>
        <v>0</v>
      </c>
      <c r="F1494" s="856">
        <f t="shared" si="100"/>
        <v>0</v>
      </c>
      <c r="G1494" s="858">
        <f t="shared" si="96"/>
        <v>0</v>
      </c>
      <c r="H1494" s="859">
        <f t="shared" si="97"/>
        <v>0</v>
      </c>
      <c r="I1494" s="453">
        <f t="shared" si="95"/>
        <v>0</v>
      </c>
      <c r="J1494" s="453"/>
      <c r="K1494" s="566"/>
      <c r="L1494" s="459"/>
      <c r="M1494" s="566"/>
      <c r="N1494" s="459"/>
      <c r="O1494" s="459"/>
    </row>
    <row r="1495" spans="3:15" ht="12.75" customHeight="1">
      <c r="C1495" s="449">
        <f>IF(D1432="","-",+C1494+1)</f>
        <v>2083</v>
      </c>
      <c r="D1495" s="856">
        <f t="shared" si="98"/>
        <v>0</v>
      </c>
      <c r="E1495" s="857">
        <f t="shared" si="99"/>
        <v>0</v>
      </c>
      <c r="F1495" s="856">
        <f t="shared" si="100"/>
        <v>0</v>
      </c>
      <c r="G1495" s="858">
        <f t="shared" si="96"/>
        <v>0</v>
      </c>
      <c r="H1495" s="859">
        <f t="shared" si="97"/>
        <v>0</v>
      </c>
      <c r="I1495" s="453">
        <f t="shared" si="95"/>
        <v>0</v>
      </c>
      <c r="J1495" s="453"/>
      <c r="K1495" s="566"/>
      <c r="L1495" s="459"/>
      <c r="M1495" s="566"/>
      <c r="N1495" s="459"/>
      <c r="O1495" s="459"/>
    </row>
    <row r="1496" spans="3:15" ht="12.75" customHeight="1">
      <c r="C1496" s="449">
        <f>IF(D1432="","-",+C1495+1)</f>
        <v>2084</v>
      </c>
      <c r="D1496" s="856">
        <f t="shared" si="98"/>
        <v>0</v>
      </c>
      <c r="E1496" s="857">
        <f t="shared" si="99"/>
        <v>0</v>
      </c>
      <c r="F1496" s="856">
        <f t="shared" si="100"/>
        <v>0</v>
      </c>
      <c r="G1496" s="858">
        <f t="shared" si="96"/>
        <v>0</v>
      </c>
      <c r="H1496" s="859">
        <f t="shared" si="97"/>
        <v>0</v>
      </c>
      <c r="I1496" s="453">
        <f t="shared" si="95"/>
        <v>0</v>
      </c>
      <c r="J1496" s="453"/>
      <c r="K1496" s="566"/>
      <c r="L1496" s="459"/>
      <c r="M1496" s="566"/>
      <c r="N1496" s="459"/>
      <c r="O1496" s="459"/>
    </row>
    <row r="1497" spans="3:15" ht="12.75" customHeight="1" thickBot="1">
      <c r="C1497" s="461">
        <f>IF(D1432="","-",+C1496+1)</f>
        <v>2085</v>
      </c>
      <c r="D1497" s="887">
        <f t="shared" si="98"/>
        <v>0</v>
      </c>
      <c r="E1497" s="857">
        <f t="shared" si="99"/>
        <v>0</v>
      </c>
      <c r="F1497" s="888">
        <f t="shared" si="100"/>
        <v>0</v>
      </c>
      <c r="G1497" s="884">
        <f t="shared" si="96"/>
        <v>0</v>
      </c>
      <c r="H1497" s="885">
        <f t="shared" si="97"/>
        <v>0</v>
      </c>
      <c r="I1497" s="465">
        <f t="shared" si="95"/>
        <v>0</v>
      </c>
      <c r="J1497" s="453"/>
      <c r="K1497" s="567"/>
      <c r="L1497" s="467"/>
      <c r="M1497" s="567"/>
      <c r="N1497" s="467"/>
      <c r="O1497" s="467"/>
    </row>
    <row r="1498" spans="3:15" ht="12.75" customHeight="1">
      <c r="C1498" s="412" t="s">
        <v>288</v>
      </c>
      <c r="D1498" s="832"/>
      <c r="E1498" s="832">
        <f>SUM(E1438:E1497)</f>
        <v>3045418.2463565217</v>
      </c>
      <c r="F1498" s="832"/>
      <c r="G1498" s="832">
        <f>SUM(G1438:G1497)</f>
        <v>9719440.855422942</v>
      </c>
      <c r="H1498" s="832">
        <f>SUM(H1438:H1497)</f>
        <v>9719440.855422942</v>
      </c>
      <c r="I1498" s="832">
        <f>SUM(I1438:I1497)</f>
        <v>0</v>
      </c>
      <c r="J1498" s="832"/>
      <c r="K1498" s="832"/>
      <c r="L1498" s="832"/>
      <c r="M1498" s="832"/>
      <c r="N1498" s="832"/>
      <c r="O1498" s="4"/>
    </row>
    <row r="1499" spans="3:15" ht="12.75" customHeight="1">
      <c r="D1499" s="67"/>
      <c r="E1499" s="4"/>
      <c r="F1499" s="4"/>
      <c r="G1499" s="4"/>
      <c r="H1499" s="831"/>
      <c r="I1499" s="831"/>
      <c r="J1499" s="832"/>
      <c r="K1499" s="831"/>
      <c r="L1499" s="831"/>
      <c r="M1499" s="831"/>
      <c r="N1499" s="831"/>
      <c r="O1499" s="4"/>
    </row>
    <row r="1500" spans="3:15" ht="12.75" customHeight="1">
      <c r="C1500" s="4" t="s">
        <v>601</v>
      </c>
      <c r="D1500" s="67"/>
      <c r="E1500" s="4"/>
      <c r="F1500" s="4"/>
      <c r="G1500" s="4"/>
      <c r="H1500" s="831"/>
      <c r="I1500" s="831"/>
      <c r="J1500" s="832"/>
      <c r="K1500" s="831"/>
      <c r="L1500" s="831"/>
      <c r="M1500" s="831"/>
      <c r="N1500" s="831"/>
      <c r="O1500" s="4"/>
    </row>
    <row r="1501" spans="3:15" ht="12.75" customHeight="1">
      <c r="D1501" s="67"/>
      <c r="E1501" s="4"/>
      <c r="F1501" s="4"/>
      <c r="G1501" s="4"/>
      <c r="H1501" s="831"/>
      <c r="I1501" s="831"/>
      <c r="J1501" s="832"/>
      <c r="K1501" s="831"/>
      <c r="L1501" s="831"/>
      <c r="M1501" s="831"/>
      <c r="N1501" s="831"/>
      <c r="O1501" s="4"/>
    </row>
    <row r="1502" spans="3:15" ht="12.75" customHeight="1">
      <c r="C1502" s="4" t="s">
        <v>602</v>
      </c>
      <c r="D1502" s="412"/>
      <c r="E1502" s="412"/>
      <c r="F1502" s="412"/>
      <c r="G1502" s="832"/>
      <c r="H1502" s="832"/>
      <c r="I1502" s="414"/>
      <c r="J1502" s="414"/>
      <c r="K1502" s="414"/>
      <c r="L1502" s="414"/>
      <c r="M1502" s="414"/>
      <c r="N1502" s="414"/>
      <c r="O1502" s="4"/>
    </row>
    <row r="1503" spans="3:15" ht="12.75" customHeight="1">
      <c r="C1503" s="4" t="s">
        <v>476</v>
      </c>
      <c r="D1503" s="412"/>
      <c r="E1503" s="412"/>
      <c r="F1503" s="412"/>
      <c r="G1503" s="832"/>
      <c r="H1503" s="832"/>
      <c r="I1503" s="414"/>
      <c r="J1503" s="414"/>
      <c r="K1503" s="414"/>
      <c r="L1503" s="414"/>
      <c r="M1503" s="414"/>
      <c r="N1503" s="414"/>
      <c r="O1503" s="4"/>
    </row>
    <row r="1504" spans="3:15" ht="12.75" customHeight="1">
      <c r="C1504" s="4" t="s">
        <v>289</v>
      </c>
      <c r="D1504" s="412"/>
      <c r="E1504" s="412"/>
      <c r="F1504" s="412"/>
      <c r="G1504" s="832"/>
      <c r="H1504" s="832"/>
      <c r="I1504" s="414"/>
      <c r="J1504" s="414"/>
      <c r="K1504" s="414"/>
      <c r="L1504" s="414"/>
      <c r="M1504" s="414"/>
      <c r="N1504" s="414"/>
      <c r="O1504" s="4"/>
    </row>
    <row r="1505" spans="1:16" ht="12.75" customHeight="1">
      <c r="C1505" s="413"/>
      <c r="D1505" s="412"/>
      <c r="E1505" s="412"/>
      <c r="F1505" s="412"/>
      <c r="G1505" s="832"/>
      <c r="H1505" s="832"/>
      <c r="I1505" s="414"/>
      <c r="J1505" s="414"/>
      <c r="K1505" s="414"/>
      <c r="L1505" s="414"/>
      <c r="M1505" s="414"/>
      <c r="N1505" s="414"/>
      <c r="O1505" s="4"/>
    </row>
    <row r="1506" spans="1:16" ht="12.75" customHeight="1">
      <c r="C1506" s="1279" t="s">
        <v>460</v>
      </c>
      <c r="D1506" s="1279"/>
      <c r="E1506" s="1279"/>
      <c r="F1506" s="1279"/>
      <c r="G1506" s="1279"/>
      <c r="H1506" s="1279"/>
      <c r="I1506" s="1279"/>
      <c r="J1506" s="1279"/>
      <c r="K1506" s="1279"/>
      <c r="L1506" s="1279"/>
      <c r="M1506" s="1279"/>
      <c r="N1506" s="1279"/>
      <c r="O1506" s="1279"/>
    </row>
    <row r="1507" spans="1:16" ht="12.75" customHeight="1">
      <c r="C1507" s="1279"/>
      <c r="D1507" s="1279"/>
      <c r="E1507" s="1279"/>
      <c r="F1507" s="1279"/>
      <c r="G1507" s="1279"/>
      <c r="H1507" s="1279"/>
      <c r="I1507" s="1279"/>
      <c r="J1507" s="1279"/>
      <c r="K1507" s="1279"/>
      <c r="L1507" s="1279"/>
      <c r="M1507" s="1279"/>
      <c r="N1507" s="1279"/>
      <c r="O1507" s="1279"/>
    </row>
    <row r="1508" spans="1:16" ht="20.25">
      <c r="A1508" s="352" t="s">
        <v>929</v>
      </c>
      <c r="B1508" s="4"/>
      <c r="C1508" s="4"/>
      <c r="D1508" s="67"/>
      <c r="E1508" s="4"/>
      <c r="F1508" s="394"/>
      <c r="G1508" s="4"/>
      <c r="H1508" s="831"/>
      <c r="K1508" s="353"/>
      <c r="L1508" s="353"/>
      <c r="M1508" s="353"/>
      <c r="N1508" s="353" t="str">
        <f>"Page "&amp;SUM(P$6:P1508)&amp;" of "</f>
        <v xml:space="preserve">Page 18 of </v>
      </c>
      <c r="O1508" s="354">
        <f>COUNT(P$6:P$59606)</f>
        <v>18</v>
      </c>
      <c r="P1508">
        <v>1</v>
      </c>
    </row>
    <row r="1509" spans="1:16" ht="12.75" customHeight="1">
      <c r="B1509" s="4"/>
      <c r="C1509" s="4"/>
      <c r="D1509" s="67"/>
      <c r="E1509" s="4"/>
      <c r="F1509" s="4"/>
      <c r="G1509" s="4"/>
      <c r="H1509" s="831"/>
      <c r="I1509" s="4"/>
      <c r="J1509" s="4"/>
      <c r="K1509" s="4"/>
      <c r="L1509" s="4"/>
      <c r="M1509" s="4"/>
      <c r="N1509" s="4"/>
      <c r="O1509" s="4"/>
    </row>
    <row r="1510" spans="1:16" ht="12.75" customHeight="1">
      <c r="B1510" s="355" t="s">
        <v>174</v>
      </c>
      <c r="C1510" s="415" t="s">
        <v>290</v>
      </c>
      <c r="D1510" s="67"/>
      <c r="E1510" s="4"/>
      <c r="F1510" s="4"/>
      <c r="G1510" s="4"/>
      <c r="H1510" s="831"/>
      <c r="I1510" s="831"/>
      <c r="J1510" s="832"/>
      <c r="K1510" s="831"/>
      <c r="L1510" s="831"/>
      <c r="M1510" s="831"/>
      <c r="N1510" s="831"/>
      <c r="O1510" s="4"/>
    </row>
    <row r="1511" spans="1:16" ht="12.75" customHeight="1">
      <c r="B1511" s="355"/>
      <c r="C1511" s="11"/>
      <c r="D1511" s="67"/>
      <c r="E1511" s="4"/>
      <c r="F1511" s="4"/>
      <c r="G1511" s="4"/>
      <c r="H1511" s="831"/>
      <c r="I1511" s="831"/>
      <c r="J1511" s="832"/>
      <c r="K1511" s="831"/>
      <c r="L1511" s="831"/>
      <c r="M1511" s="831"/>
      <c r="N1511" s="831"/>
      <c r="O1511" s="4"/>
    </row>
    <row r="1512" spans="1:16" ht="12.75" customHeight="1">
      <c r="B1512" s="355"/>
      <c r="C1512" s="11" t="s">
        <v>291</v>
      </c>
      <c r="D1512" s="67"/>
      <c r="E1512" s="4"/>
      <c r="F1512" s="4"/>
      <c r="G1512" s="4"/>
      <c r="H1512" s="831"/>
      <c r="I1512" s="831"/>
      <c r="J1512" s="832"/>
      <c r="K1512" s="831"/>
      <c r="L1512" s="831"/>
      <c r="M1512" s="831"/>
      <c r="N1512" s="831"/>
      <c r="O1512" s="4"/>
    </row>
    <row r="1513" spans="1:16" ht="12.75" customHeight="1" thickBot="1">
      <c r="C1513" s="203"/>
      <c r="D1513" s="67"/>
      <c r="E1513" s="4"/>
      <c r="F1513" s="4"/>
      <c r="G1513" s="4"/>
      <c r="H1513" s="831"/>
      <c r="I1513" s="831"/>
      <c r="J1513" s="832"/>
      <c r="K1513" s="831"/>
      <c r="L1513" s="831"/>
      <c r="M1513" s="831"/>
      <c r="N1513" s="831"/>
      <c r="O1513" s="4"/>
    </row>
    <row r="1514" spans="1:16" ht="12.75" customHeight="1">
      <c r="C1514" s="356" t="s">
        <v>292</v>
      </c>
      <c r="D1514" s="67"/>
      <c r="E1514" s="4"/>
      <c r="F1514" s="4"/>
      <c r="G1514" s="833"/>
      <c r="H1514" s="4" t="s">
        <v>271</v>
      </c>
      <c r="I1514" s="4"/>
      <c r="J1514" s="4"/>
      <c r="K1514" s="416" t="s">
        <v>296</v>
      </c>
      <c r="L1514" s="417"/>
      <c r="M1514" s="418"/>
      <c r="N1514" s="834">
        <f>VLOOKUP(I1520,C1527:O1586,5)</f>
        <v>1450188.6021310701</v>
      </c>
      <c r="O1514" s="4"/>
    </row>
    <row r="1515" spans="1:16" ht="12.75" customHeight="1">
      <c r="C1515" s="356"/>
      <c r="D1515" s="67"/>
      <c r="E1515" s="4"/>
      <c r="F1515" s="4"/>
      <c r="G1515" s="4"/>
      <c r="H1515" s="835"/>
      <c r="I1515" s="835"/>
      <c r="J1515" s="836"/>
      <c r="K1515" s="421" t="s">
        <v>297</v>
      </c>
      <c r="L1515" s="837"/>
      <c r="M1515" s="4"/>
      <c r="N1515" s="838">
        <f>VLOOKUP(I1520,C1527:O1586,6)</f>
        <v>1450188.6021310701</v>
      </c>
      <c r="O1515" s="4"/>
    </row>
    <row r="1516" spans="1:16" ht="12.75" customHeight="1" thickBot="1">
      <c r="C1516" s="422" t="s">
        <v>293</v>
      </c>
      <c r="D1516" s="1277" t="s">
        <v>1207</v>
      </c>
      <c r="E1516" s="1277"/>
      <c r="F1516" s="1277"/>
      <c r="G1516" s="1277"/>
      <c r="H1516" s="1277"/>
      <c r="I1516" s="831"/>
      <c r="J1516" s="832"/>
      <c r="K1516" s="839" t="s">
        <v>450</v>
      </c>
      <c r="L1516" s="840"/>
      <c r="M1516" s="840"/>
      <c r="N1516" s="841">
        <f>+N1515-N1514</f>
        <v>0</v>
      </c>
      <c r="O1516" s="4"/>
    </row>
    <row r="1517" spans="1:16" ht="12.75" customHeight="1">
      <c r="C1517" s="424"/>
      <c r="D1517" s="425"/>
      <c r="E1517" s="412"/>
      <c r="F1517" s="412"/>
      <c r="G1517" s="426"/>
      <c r="H1517" s="831"/>
      <c r="I1517" s="831"/>
      <c r="J1517" s="832"/>
      <c r="K1517" s="831"/>
      <c r="L1517" s="831"/>
      <c r="M1517" s="831"/>
      <c r="N1517" s="831"/>
      <c r="O1517" s="4"/>
    </row>
    <row r="1518" spans="1:16" ht="12.75" customHeight="1" thickBot="1">
      <c r="C1518" s="424"/>
      <c r="D1518" s="4"/>
      <c r="E1518" s="426"/>
      <c r="F1518" s="426"/>
      <c r="G1518" s="426"/>
      <c r="H1518" s="426"/>
      <c r="I1518" s="426"/>
      <c r="J1518" s="426"/>
      <c r="K1518" s="426"/>
      <c r="L1518" s="426"/>
      <c r="M1518" s="426"/>
      <c r="N1518" s="426"/>
      <c r="O1518" s="4"/>
    </row>
    <row r="1519" spans="1:16" ht="12.75" customHeight="1" thickBot="1">
      <c r="C1519" s="427" t="s">
        <v>294</v>
      </c>
      <c r="D1519" s="428"/>
      <c r="E1519" s="428"/>
      <c r="F1519" s="428"/>
      <c r="G1519" s="428"/>
      <c r="H1519" s="428"/>
      <c r="I1519" s="429"/>
      <c r="K1519" s="4"/>
      <c r="L1519" s="4"/>
      <c r="M1519" s="4"/>
      <c r="N1519" s="4"/>
      <c r="O1519" s="4"/>
    </row>
    <row r="1520" spans="1:16" ht="12.75" customHeight="1">
      <c r="C1520" s="430" t="s">
        <v>272</v>
      </c>
      <c r="D1520" s="842">
        <v>10979778.180655001</v>
      </c>
      <c r="E1520" s="4" t="s">
        <v>273</v>
      </c>
      <c r="G1520" s="67"/>
      <c r="H1520" s="67"/>
      <c r="I1520" s="431">
        <f>$L$26</f>
        <v>2026</v>
      </c>
      <c r="J1520" s="114"/>
      <c r="K1520" s="1278" t="s">
        <v>459</v>
      </c>
      <c r="L1520" s="1278"/>
      <c r="M1520" s="1278"/>
      <c r="N1520" s="1278"/>
      <c r="O1520" s="1278"/>
    </row>
    <row r="1521" spans="1:15" ht="12.75" customHeight="1">
      <c r="C1521" s="430" t="s">
        <v>275</v>
      </c>
      <c r="D1521" s="879">
        <v>2026</v>
      </c>
      <c r="E1521" s="430" t="s">
        <v>276</v>
      </c>
      <c r="F1521" s="67"/>
      <c r="I1521" s="564">
        <f>IF(G1514="",0,$F$15)</f>
        <v>0</v>
      </c>
      <c r="J1521" s="432"/>
      <c r="K1521" s="832" t="s">
        <v>459</v>
      </c>
    </row>
    <row r="1522" spans="1:15" ht="12.75" customHeight="1">
      <c r="C1522" s="430" t="s">
        <v>277</v>
      </c>
      <c r="D1522" s="842">
        <v>2</v>
      </c>
      <c r="E1522" s="430" t="s">
        <v>278</v>
      </c>
      <c r="F1522" s="67"/>
      <c r="I1522" s="433">
        <f>$G$70</f>
        <v>0.1119061905251431</v>
      </c>
      <c r="J1522" s="394"/>
      <c r="K1522" t="str">
        <f>"          INPUT PROJECTED ARR (WITH &amp; WITHOUT INCENTIVES) FROM EACH PRIOR YEAR"</f>
        <v xml:space="preserve">          INPUT PROJECTED ARR (WITH &amp; WITHOUT INCENTIVES) FROM EACH PRIOR YEAR</v>
      </c>
    </row>
    <row r="1523" spans="1:15" ht="12.75" customHeight="1">
      <c r="C1523" s="430" t="s">
        <v>279</v>
      </c>
      <c r="D1523" s="434">
        <f>G$79</f>
        <v>39</v>
      </c>
      <c r="E1523" s="430" t="s">
        <v>280</v>
      </c>
      <c r="F1523" s="67"/>
      <c r="I1523" s="433">
        <f>IF(G1514="",I1522,$G$67)</f>
        <v>0.1119061905251431</v>
      </c>
      <c r="J1523" s="394"/>
      <c r="K1523" t="s">
        <v>357</v>
      </c>
    </row>
    <row r="1524" spans="1:15" ht="12.75" customHeight="1" thickBot="1">
      <c r="C1524" s="430" t="s">
        <v>281</v>
      </c>
      <c r="D1524" s="563" t="s">
        <v>931</v>
      </c>
      <c r="E1524" s="435" t="s">
        <v>282</v>
      </c>
      <c r="F1524" s="436"/>
      <c r="G1524" s="437"/>
      <c r="H1524" s="437"/>
      <c r="I1524" s="841">
        <f>IF(D1520=0,0,D1520/D1523)</f>
        <v>281532.77386294876</v>
      </c>
      <c r="J1524" s="832"/>
      <c r="K1524" s="832" t="s">
        <v>363</v>
      </c>
      <c r="L1524" s="832"/>
      <c r="M1524" s="832"/>
      <c r="N1524" s="832"/>
      <c r="O1524" s="4"/>
    </row>
    <row r="1525" spans="1:15" ht="12.75" customHeight="1">
      <c r="A1525" s="322"/>
      <c r="B1525" s="322"/>
      <c r="C1525" s="438" t="s">
        <v>272</v>
      </c>
      <c r="D1525" s="844" t="s">
        <v>283</v>
      </c>
      <c r="E1525" s="845" t="s">
        <v>284</v>
      </c>
      <c r="F1525" s="844" t="s">
        <v>285</v>
      </c>
      <c r="G1525" s="845" t="s">
        <v>356</v>
      </c>
      <c r="H1525" s="846" t="s">
        <v>356</v>
      </c>
      <c r="I1525" s="438" t="s">
        <v>295</v>
      </c>
      <c r="J1525" s="442"/>
      <c r="K1525" s="845" t="s">
        <v>365</v>
      </c>
      <c r="L1525" s="847"/>
      <c r="M1525" s="845" t="s">
        <v>365</v>
      </c>
      <c r="N1525" s="847"/>
      <c r="O1525" s="847"/>
    </row>
    <row r="1526" spans="1:15" ht="12.75" customHeight="1" thickBot="1">
      <c r="C1526" s="444" t="s">
        <v>177</v>
      </c>
      <c r="D1526" s="445" t="s">
        <v>178</v>
      </c>
      <c r="E1526" s="444" t="s">
        <v>37</v>
      </c>
      <c r="F1526" s="445" t="s">
        <v>178</v>
      </c>
      <c r="G1526" s="848" t="s">
        <v>298</v>
      </c>
      <c r="H1526" s="849" t="s">
        <v>300</v>
      </c>
      <c r="I1526" s="444" t="s">
        <v>389</v>
      </c>
      <c r="J1526" s="448"/>
      <c r="K1526" s="848" t="s">
        <v>287</v>
      </c>
      <c r="L1526" s="850"/>
      <c r="M1526" s="848" t="s">
        <v>300</v>
      </c>
      <c r="N1526" s="850"/>
      <c r="O1526" s="850"/>
    </row>
    <row r="1527" spans="1:15" ht="12.75" customHeight="1">
      <c r="C1527" s="855">
        <f>IF(D1521= "","-",D1521)</f>
        <v>2026</v>
      </c>
      <c r="D1527" s="412">
        <f>+D1520</f>
        <v>10979778.180655001</v>
      </c>
      <c r="E1527" s="851">
        <f>+I1524/12*(12-D1522)</f>
        <v>234610.64488579065</v>
      </c>
      <c r="F1527" s="412">
        <f>+D1527-E1527</f>
        <v>10745167.535769209</v>
      </c>
      <c r="G1527" s="858">
        <f>+$I$1344*((D1527+F1527)/2)+E1527</f>
        <v>1450188.6021310701</v>
      </c>
      <c r="H1527" s="859">
        <f>+$I$1345*((D1527+F1527)/2)+E1527</f>
        <v>1450188.6021310701</v>
      </c>
      <c r="I1527" s="453">
        <f t="shared" ref="I1527:I1586" si="101">+H1527-G1527</f>
        <v>0</v>
      </c>
      <c r="J1527" s="453"/>
      <c r="K1527" s="566"/>
      <c r="L1527" s="455"/>
      <c r="M1527" s="566"/>
      <c r="N1527" s="455"/>
      <c r="O1527" s="455"/>
    </row>
    <row r="1528" spans="1:15" ht="12.75" customHeight="1">
      <c r="C1528" s="449">
        <f>IF(D1521="","-",+C1527+1)</f>
        <v>2027</v>
      </c>
      <c r="D1528" s="856">
        <f>F1527</f>
        <v>10745167.535769209</v>
      </c>
      <c r="E1528" s="857">
        <f>IF(D1528&gt;$I$1524,$I$1524,D1528)</f>
        <v>281532.77386294876</v>
      </c>
      <c r="F1528" s="856">
        <f>+D1528-E1528</f>
        <v>10463634.761906261</v>
      </c>
      <c r="G1528" s="858">
        <f t="shared" ref="G1528:G1586" si="102">+$I$1344*((D1528+F1528)/2)+E1528</f>
        <v>1468230.9092298304</v>
      </c>
      <c r="H1528" s="859">
        <f t="shared" ref="H1528:H1586" si="103">+$I$1345*((D1528+F1528)/2)+E1528</f>
        <v>1468230.9092298304</v>
      </c>
      <c r="I1528" s="865">
        <f t="shared" si="101"/>
        <v>0</v>
      </c>
      <c r="J1528" s="453"/>
      <c r="K1528" s="566"/>
      <c r="L1528" s="459"/>
      <c r="M1528" s="566"/>
      <c r="N1528" s="459"/>
      <c r="O1528" s="459"/>
    </row>
    <row r="1529" spans="1:15" ht="12.75" customHeight="1">
      <c r="C1529" s="449">
        <f>IF(D1521="","-",+C1528+1)</f>
        <v>2028</v>
      </c>
      <c r="D1529" s="856">
        <f t="shared" ref="D1529:D1586" si="104">F1528</f>
        <v>10463634.761906261</v>
      </c>
      <c r="E1529" s="857">
        <f t="shared" ref="E1529:E1586" si="105">IF(D1529&gt;$I$1524,$I$1524,D1529)</f>
        <v>281532.77386294876</v>
      </c>
      <c r="F1529" s="856">
        <f t="shared" ref="F1529:F1586" si="106">+D1529-E1529</f>
        <v>10182101.988043312</v>
      </c>
      <c r="G1529" s="858">
        <f t="shared" si="102"/>
        <v>1436725.6489988514</v>
      </c>
      <c r="H1529" s="859">
        <f t="shared" si="103"/>
        <v>1436725.6489988514</v>
      </c>
      <c r="I1529" s="453">
        <f t="shared" si="101"/>
        <v>0</v>
      </c>
      <c r="J1529" s="453"/>
      <c r="K1529" s="566"/>
      <c r="L1529" s="864"/>
      <c r="M1529" s="566"/>
      <c r="N1529" s="459"/>
      <c r="O1529" s="459"/>
    </row>
    <row r="1530" spans="1:15" ht="12.75" customHeight="1">
      <c r="C1530" s="449">
        <f>IF(D1521="","-",+C1529+1)</f>
        <v>2029</v>
      </c>
      <c r="D1530" s="856">
        <f t="shared" si="104"/>
        <v>10182101.988043312</v>
      </c>
      <c r="E1530" s="857">
        <f t="shared" si="105"/>
        <v>281532.77386294876</v>
      </c>
      <c r="F1530" s="856">
        <f t="shared" si="106"/>
        <v>9900569.2141803633</v>
      </c>
      <c r="G1530" s="858">
        <f t="shared" si="102"/>
        <v>1405220.3887678725</v>
      </c>
      <c r="H1530" s="859">
        <f t="shared" si="103"/>
        <v>1405220.3887678725</v>
      </c>
      <c r="I1530" s="453">
        <f t="shared" si="101"/>
        <v>0</v>
      </c>
      <c r="J1530" s="453"/>
      <c r="K1530" s="566"/>
      <c r="L1530" s="459"/>
      <c r="M1530" s="566"/>
      <c r="N1530" s="459"/>
      <c r="O1530" s="459"/>
    </row>
    <row r="1531" spans="1:15" ht="12.75" customHeight="1">
      <c r="C1531" s="449">
        <f>IF(D1521="","-",+C1530+1)</f>
        <v>2030</v>
      </c>
      <c r="D1531" s="856">
        <f t="shared" si="104"/>
        <v>9900569.2141803633</v>
      </c>
      <c r="E1531" s="857">
        <f t="shared" si="105"/>
        <v>281532.77386294876</v>
      </c>
      <c r="F1531" s="856">
        <f t="shared" si="106"/>
        <v>9619036.4403174147</v>
      </c>
      <c r="G1531" s="858">
        <f t="shared" si="102"/>
        <v>1373715.1285368935</v>
      </c>
      <c r="H1531" s="859">
        <f t="shared" si="103"/>
        <v>1373715.1285368935</v>
      </c>
      <c r="I1531" s="453">
        <f t="shared" si="101"/>
        <v>0</v>
      </c>
      <c r="J1531" s="453"/>
      <c r="K1531" s="566"/>
      <c r="L1531" s="459"/>
      <c r="M1531" s="566"/>
      <c r="N1531" s="459"/>
      <c r="O1531" s="459"/>
    </row>
    <row r="1532" spans="1:15" ht="12.75" customHeight="1">
      <c r="C1532" s="449">
        <f>IF(D1521="","-",+C1531+1)</f>
        <v>2031</v>
      </c>
      <c r="D1532" s="856">
        <f t="shared" si="104"/>
        <v>9619036.4403174147</v>
      </c>
      <c r="E1532" s="857">
        <f t="shared" si="105"/>
        <v>281532.77386294876</v>
      </c>
      <c r="F1532" s="856">
        <f t="shared" si="106"/>
        <v>9337503.6664544661</v>
      </c>
      <c r="G1532" s="858">
        <f t="shared" si="102"/>
        <v>1342209.8683059141</v>
      </c>
      <c r="H1532" s="859">
        <f t="shared" si="103"/>
        <v>1342209.8683059141</v>
      </c>
      <c r="I1532" s="453">
        <f t="shared" si="101"/>
        <v>0</v>
      </c>
      <c r="J1532" s="453"/>
      <c r="K1532" s="566"/>
      <c r="L1532" s="459"/>
      <c r="M1532" s="566"/>
      <c r="N1532" s="459"/>
      <c r="O1532" s="459"/>
    </row>
    <row r="1533" spans="1:15" ht="12.75" customHeight="1">
      <c r="C1533" s="449">
        <f>IF(D1521="","-",+C1532+1)</f>
        <v>2032</v>
      </c>
      <c r="D1533" s="856">
        <f t="shared" si="104"/>
        <v>9337503.6664544661</v>
      </c>
      <c r="E1533" s="857">
        <f t="shared" si="105"/>
        <v>281532.77386294876</v>
      </c>
      <c r="F1533" s="856">
        <f t="shared" si="106"/>
        <v>9055970.8925915174</v>
      </c>
      <c r="G1533" s="858">
        <f t="shared" si="102"/>
        <v>1310704.6080749352</v>
      </c>
      <c r="H1533" s="859">
        <f t="shared" si="103"/>
        <v>1310704.6080749352</v>
      </c>
      <c r="I1533" s="453">
        <f t="shared" si="101"/>
        <v>0</v>
      </c>
      <c r="J1533" s="453"/>
      <c r="K1533" s="566"/>
      <c r="L1533" s="459"/>
      <c r="M1533" s="566"/>
      <c r="N1533" s="459"/>
      <c r="O1533" s="459"/>
    </row>
    <row r="1534" spans="1:15" ht="12.75" customHeight="1">
      <c r="C1534" s="449">
        <f>IF(D1521="","-",+C1533+1)</f>
        <v>2033</v>
      </c>
      <c r="D1534" s="856">
        <f t="shared" si="104"/>
        <v>9055970.8925915174</v>
      </c>
      <c r="E1534" s="857">
        <f t="shared" si="105"/>
        <v>281532.77386294876</v>
      </c>
      <c r="F1534" s="856">
        <f t="shared" si="106"/>
        <v>8774438.1187285688</v>
      </c>
      <c r="G1534" s="858">
        <f t="shared" si="102"/>
        <v>1279199.3478439557</v>
      </c>
      <c r="H1534" s="859">
        <f t="shared" si="103"/>
        <v>1279199.3478439557</v>
      </c>
      <c r="I1534" s="865">
        <f t="shared" si="101"/>
        <v>0</v>
      </c>
      <c r="J1534" s="453"/>
      <c r="K1534" s="566"/>
      <c r="L1534" s="459"/>
      <c r="M1534" s="566"/>
      <c r="N1534" s="459"/>
      <c r="O1534" s="459"/>
    </row>
    <row r="1535" spans="1:15" ht="12.75" customHeight="1">
      <c r="C1535" s="449">
        <f>IF(D1521="","-",+C1534+1)</f>
        <v>2034</v>
      </c>
      <c r="D1535" s="856">
        <f t="shared" si="104"/>
        <v>8774438.1187285688</v>
      </c>
      <c r="E1535" s="857">
        <f t="shared" si="105"/>
        <v>281532.77386294876</v>
      </c>
      <c r="F1535" s="856">
        <f t="shared" si="106"/>
        <v>8492905.3448656201</v>
      </c>
      <c r="G1535" s="858">
        <f t="shared" si="102"/>
        <v>1247694.0876129768</v>
      </c>
      <c r="H1535" s="859">
        <f t="shared" si="103"/>
        <v>1247694.0876129768</v>
      </c>
      <c r="I1535" s="453">
        <f t="shared" si="101"/>
        <v>0</v>
      </c>
      <c r="J1535" s="453"/>
      <c r="K1535" s="566"/>
      <c r="L1535" s="459"/>
      <c r="M1535" s="566"/>
      <c r="N1535" s="459"/>
      <c r="O1535" s="459"/>
    </row>
    <row r="1536" spans="1:15" ht="12.75" customHeight="1">
      <c r="C1536" s="449">
        <f>IF(D1521="","-",+C1535+1)</f>
        <v>2035</v>
      </c>
      <c r="D1536" s="856">
        <f t="shared" si="104"/>
        <v>8492905.3448656201</v>
      </c>
      <c r="E1536" s="857">
        <f t="shared" si="105"/>
        <v>281532.77386294876</v>
      </c>
      <c r="F1536" s="856">
        <f t="shared" si="106"/>
        <v>8211372.5710026715</v>
      </c>
      <c r="G1536" s="858">
        <f t="shared" si="102"/>
        <v>1216188.8273819974</v>
      </c>
      <c r="H1536" s="859">
        <f t="shared" si="103"/>
        <v>1216188.8273819974</v>
      </c>
      <c r="I1536" s="453">
        <f t="shared" si="101"/>
        <v>0</v>
      </c>
      <c r="J1536" s="453"/>
      <c r="K1536" s="566"/>
      <c r="L1536" s="459"/>
      <c r="M1536" s="566"/>
      <c r="N1536" s="459"/>
      <c r="O1536" s="459"/>
    </row>
    <row r="1537" spans="3:15" ht="12.75" customHeight="1">
      <c r="C1537" s="449">
        <f>IF(D1521="","-",+C1536+1)</f>
        <v>2036</v>
      </c>
      <c r="D1537" s="856">
        <f t="shared" si="104"/>
        <v>8211372.5710026715</v>
      </c>
      <c r="E1537" s="857">
        <f t="shared" si="105"/>
        <v>281532.77386294876</v>
      </c>
      <c r="F1537" s="856">
        <f t="shared" si="106"/>
        <v>7929839.7971397229</v>
      </c>
      <c r="G1537" s="858">
        <f t="shared" si="102"/>
        <v>1184683.5671510184</v>
      </c>
      <c r="H1537" s="859">
        <f t="shared" si="103"/>
        <v>1184683.5671510184</v>
      </c>
      <c r="I1537" s="453">
        <f t="shared" si="101"/>
        <v>0</v>
      </c>
      <c r="J1537" s="453"/>
      <c r="K1537" s="566"/>
      <c r="L1537" s="459"/>
      <c r="M1537" s="566"/>
      <c r="N1537" s="459"/>
      <c r="O1537" s="459"/>
    </row>
    <row r="1538" spans="3:15" ht="12.75" customHeight="1">
      <c r="C1538" s="449">
        <f>IF(D1521="","-",+C1537+1)</f>
        <v>2037</v>
      </c>
      <c r="D1538" s="856">
        <f t="shared" si="104"/>
        <v>7929839.7971397229</v>
      </c>
      <c r="E1538" s="857">
        <f t="shared" si="105"/>
        <v>281532.77386294876</v>
      </c>
      <c r="F1538" s="856">
        <f t="shared" si="106"/>
        <v>7648307.0232767742</v>
      </c>
      <c r="G1538" s="858">
        <f t="shared" si="102"/>
        <v>1153178.306920039</v>
      </c>
      <c r="H1538" s="859">
        <f t="shared" si="103"/>
        <v>1153178.306920039</v>
      </c>
      <c r="I1538" s="453">
        <f t="shared" si="101"/>
        <v>0</v>
      </c>
      <c r="J1538" s="453"/>
      <c r="K1538" s="566"/>
      <c r="L1538" s="459"/>
      <c r="M1538" s="566"/>
      <c r="N1538" s="459"/>
      <c r="O1538" s="459"/>
    </row>
    <row r="1539" spans="3:15" ht="12.75" customHeight="1">
      <c r="C1539" s="449">
        <f>IF(D1521="","-",+C1538+1)</f>
        <v>2038</v>
      </c>
      <c r="D1539" s="856">
        <f t="shared" si="104"/>
        <v>7648307.0232767742</v>
      </c>
      <c r="E1539" s="857">
        <f t="shared" si="105"/>
        <v>281532.77386294876</v>
      </c>
      <c r="F1539" s="856">
        <f t="shared" si="106"/>
        <v>7366774.2494138256</v>
      </c>
      <c r="G1539" s="858">
        <f t="shared" si="102"/>
        <v>1121673.0466890601</v>
      </c>
      <c r="H1539" s="859">
        <f t="shared" si="103"/>
        <v>1121673.0466890601</v>
      </c>
      <c r="I1539" s="453">
        <f t="shared" si="101"/>
        <v>0</v>
      </c>
      <c r="J1539" s="453"/>
      <c r="K1539" s="566"/>
      <c r="L1539" s="459"/>
      <c r="M1539" s="566"/>
      <c r="N1539" s="460"/>
      <c r="O1539" s="459"/>
    </row>
    <row r="1540" spans="3:15" ht="12.75" customHeight="1">
      <c r="C1540" s="449">
        <f>IF(D1521="","-",+C1539+1)</f>
        <v>2039</v>
      </c>
      <c r="D1540" s="856">
        <f t="shared" si="104"/>
        <v>7366774.2494138256</v>
      </c>
      <c r="E1540" s="857">
        <f t="shared" si="105"/>
        <v>281532.77386294876</v>
      </c>
      <c r="F1540" s="856">
        <f t="shared" si="106"/>
        <v>7085241.4755508769</v>
      </c>
      <c r="G1540" s="858">
        <f t="shared" si="102"/>
        <v>1090167.7864580806</v>
      </c>
      <c r="H1540" s="859">
        <f t="shared" si="103"/>
        <v>1090167.7864580806</v>
      </c>
      <c r="I1540" s="453">
        <f t="shared" si="101"/>
        <v>0</v>
      </c>
      <c r="J1540" s="453"/>
      <c r="K1540" s="566"/>
      <c r="L1540" s="459"/>
      <c r="M1540" s="566"/>
      <c r="N1540" s="459"/>
      <c r="O1540" s="459"/>
    </row>
    <row r="1541" spans="3:15" ht="12.75" customHeight="1">
      <c r="C1541" s="449">
        <f>IF(D1521="","-",+C1540+1)</f>
        <v>2040</v>
      </c>
      <c r="D1541" s="856">
        <f t="shared" si="104"/>
        <v>7085241.4755508769</v>
      </c>
      <c r="E1541" s="857">
        <f t="shared" si="105"/>
        <v>281532.77386294876</v>
      </c>
      <c r="F1541" s="856">
        <f t="shared" si="106"/>
        <v>6803708.7016879283</v>
      </c>
      <c r="G1541" s="858">
        <f t="shared" si="102"/>
        <v>1058662.5262271017</v>
      </c>
      <c r="H1541" s="859">
        <f t="shared" si="103"/>
        <v>1058662.5262271017</v>
      </c>
      <c r="I1541" s="453">
        <f t="shared" si="101"/>
        <v>0</v>
      </c>
      <c r="J1541" s="453"/>
      <c r="K1541" s="566"/>
      <c r="L1541" s="459"/>
      <c r="M1541" s="566"/>
      <c r="N1541" s="459"/>
      <c r="O1541" s="459"/>
    </row>
    <row r="1542" spans="3:15" ht="12.75" customHeight="1">
      <c r="C1542" s="449">
        <f>IF(D1521="","-",+C1541+1)</f>
        <v>2041</v>
      </c>
      <c r="D1542" s="856">
        <f t="shared" si="104"/>
        <v>6803708.7016879283</v>
      </c>
      <c r="E1542" s="857">
        <f t="shared" si="105"/>
        <v>281532.77386294876</v>
      </c>
      <c r="F1542" s="856">
        <f t="shared" si="106"/>
        <v>6522175.9278249796</v>
      </c>
      <c r="G1542" s="858">
        <f t="shared" si="102"/>
        <v>1027157.2659961225</v>
      </c>
      <c r="H1542" s="859">
        <f t="shared" si="103"/>
        <v>1027157.2659961225</v>
      </c>
      <c r="I1542" s="453">
        <f t="shared" si="101"/>
        <v>0</v>
      </c>
      <c r="J1542" s="453"/>
      <c r="K1542" s="566"/>
      <c r="L1542" s="459"/>
      <c r="M1542" s="566"/>
      <c r="N1542" s="459"/>
      <c r="O1542" s="459"/>
    </row>
    <row r="1543" spans="3:15" ht="12.75" customHeight="1">
      <c r="C1543" s="449">
        <f>IF(D1521="","-",+C1542+1)</f>
        <v>2042</v>
      </c>
      <c r="D1543" s="856">
        <f t="shared" si="104"/>
        <v>6522175.9278249796</v>
      </c>
      <c r="E1543" s="857">
        <f t="shared" si="105"/>
        <v>281532.77386294876</v>
      </c>
      <c r="F1543" s="856">
        <f t="shared" si="106"/>
        <v>6240643.153962031</v>
      </c>
      <c r="G1543" s="858">
        <f t="shared" si="102"/>
        <v>995652.00576514332</v>
      </c>
      <c r="H1543" s="859">
        <f t="shared" si="103"/>
        <v>995652.00576514332</v>
      </c>
      <c r="I1543" s="453">
        <f t="shared" si="101"/>
        <v>0</v>
      </c>
      <c r="J1543" s="453"/>
      <c r="K1543" s="566"/>
      <c r="L1543" s="459"/>
      <c r="M1543" s="566"/>
      <c r="N1543" s="459"/>
      <c r="O1543" s="459"/>
    </row>
    <row r="1544" spans="3:15" ht="12.75" customHeight="1">
      <c r="C1544" s="449">
        <f>IF(D1521="","-",+C1543+1)</f>
        <v>2043</v>
      </c>
      <c r="D1544" s="856">
        <f t="shared" si="104"/>
        <v>6240643.153962031</v>
      </c>
      <c r="E1544" s="857">
        <f t="shared" si="105"/>
        <v>281532.77386294876</v>
      </c>
      <c r="F1544" s="856">
        <f t="shared" si="106"/>
        <v>5959110.3800990824</v>
      </c>
      <c r="G1544" s="858">
        <f t="shared" si="102"/>
        <v>964146.74553416413</v>
      </c>
      <c r="H1544" s="859">
        <f t="shared" si="103"/>
        <v>964146.74553416413</v>
      </c>
      <c r="I1544" s="453">
        <f t="shared" si="101"/>
        <v>0</v>
      </c>
      <c r="J1544" s="453"/>
      <c r="K1544" s="566"/>
      <c r="L1544" s="459"/>
      <c r="M1544" s="566"/>
      <c r="N1544" s="459"/>
      <c r="O1544" s="459"/>
    </row>
    <row r="1545" spans="3:15" ht="12.75" customHeight="1">
      <c r="C1545" s="449">
        <f>IF(D1521="","-",+C1544+1)</f>
        <v>2044</v>
      </c>
      <c r="D1545" s="856">
        <f t="shared" si="104"/>
        <v>5959110.3800990824</v>
      </c>
      <c r="E1545" s="857">
        <f t="shared" si="105"/>
        <v>281532.77386294876</v>
      </c>
      <c r="F1545" s="856">
        <f t="shared" si="106"/>
        <v>5677577.6062361337</v>
      </c>
      <c r="G1545" s="858">
        <f t="shared" si="102"/>
        <v>932641.48530318495</v>
      </c>
      <c r="H1545" s="859">
        <f t="shared" si="103"/>
        <v>932641.48530318495</v>
      </c>
      <c r="I1545" s="453">
        <f t="shared" si="101"/>
        <v>0</v>
      </c>
      <c r="J1545" s="453"/>
      <c r="K1545" s="566"/>
      <c r="L1545" s="459"/>
      <c r="M1545" s="566"/>
      <c r="N1545" s="459"/>
      <c r="O1545" s="459"/>
    </row>
    <row r="1546" spans="3:15" ht="12.75" customHeight="1">
      <c r="C1546" s="449">
        <f>IF(D1521="","-",+C1545+1)</f>
        <v>2045</v>
      </c>
      <c r="D1546" s="856">
        <f t="shared" si="104"/>
        <v>5677577.6062361337</v>
      </c>
      <c r="E1546" s="857">
        <f t="shared" si="105"/>
        <v>281532.77386294876</v>
      </c>
      <c r="F1546" s="856">
        <f t="shared" si="106"/>
        <v>5396044.8323731851</v>
      </c>
      <c r="G1546" s="858">
        <f t="shared" si="102"/>
        <v>901136.22507220588</v>
      </c>
      <c r="H1546" s="859">
        <f t="shared" si="103"/>
        <v>901136.22507220588</v>
      </c>
      <c r="I1546" s="453">
        <f t="shared" si="101"/>
        <v>0</v>
      </c>
      <c r="J1546" s="453"/>
      <c r="K1546" s="566"/>
      <c r="L1546" s="459"/>
      <c r="M1546" s="566"/>
      <c r="N1546" s="459"/>
      <c r="O1546" s="459"/>
    </row>
    <row r="1547" spans="3:15" ht="12.75" customHeight="1">
      <c r="C1547" s="449">
        <f>IF(D1521="","-",+C1546+1)</f>
        <v>2046</v>
      </c>
      <c r="D1547" s="856">
        <f t="shared" si="104"/>
        <v>5396044.8323731851</v>
      </c>
      <c r="E1547" s="857">
        <f t="shared" si="105"/>
        <v>281532.77386294876</v>
      </c>
      <c r="F1547" s="856">
        <f t="shared" si="106"/>
        <v>5114512.0585102364</v>
      </c>
      <c r="G1547" s="858">
        <f t="shared" si="102"/>
        <v>869630.9648412267</v>
      </c>
      <c r="H1547" s="859">
        <f t="shared" si="103"/>
        <v>869630.9648412267</v>
      </c>
      <c r="I1547" s="453">
        <f t="shared" si="101"/>
        <v>0</v>
      </c>
      <c r="J1547" s="453"/>
      <c r="K1547" s="566"/>
      <c r="L1547" s="459"/>
      <c r="M1547" s="566"/>
      <c r="N1547" s="459"/>
      <c r="O1547" s="459"/>
    </row>
    <row r="1548" spans="3:15" ht="12.75" customHeight="1">
      <c r="C1548" s="449">
        <f>IF(D1521="","-",+C1547+1)</f>
        <v>2047</v>
      </c>
      <c r="D1548" s="856">
        <f t="shared" si="104"/>
        <v>5114512.0585102364</v>
      </c>
      <c r="E1548" s="857">
        <f t="shared" si="105"/>
        <v>281532.77386294876</v>
      </c>
      <c r="F1548" s="856">
        <f t="shared" si="106"/>
        <v>4832979.2846472878</v>
      </c>
      <c r="G1548" s="858">
        <f t="shared" si="102"/>
        <v>838125.70461024751</v>
      </c>
      <c r="H1548" s="859">
        <f t="shared" si="103"/>
        <v>838125.70461024751</v>
      </c>
      <c r="I1548" s="453">
        <f t="shared" si="101"/>
        <v>0</v>
      </c>
      <c r="J1548" s="453"/>
      <c r="K1548" s="566"/>
      <c r="L1548" s="459"/>
      <c r="M1548" s="566"/>
      <c r="N1548" s="459"/>
      <c r="O1548" s="459"/>
    </row>
    <row r="1549" spans="3:15" ht="12.75" customHeight="1">
      <c r="C1549" s="449">
        <f>IF(D1521="","-",+C1548+1)</f>
        <v>2048</v>
      </c>
      <c r="D1549" s="856">
        <f t="shared" si="104"/>
        <v>4832979.2846472878</v>
      </c>
      <c r="E1549" s="857">
        <f t="shared" si="105"/>
        <v>281532.77386294876</v>
      </c>
      <c r="F1549" s="856">
        <f t="shared" si="106"/>
        <v>4551446.5107843392</v>
      </c>
      <c r="G1549" s="858">
        <f t="shared" si="102"/>
        <v>806620.44437926833</v>
      </c>
      <c r="H1549" s="859">
        <f t="shared" si="103"/>
        <v>806620.44437926833</v>
      </c>
      <c r="I1549" s="453">
        <f t="shared" si="101"/>
        <v>0</v>
      </c>
      <c r="J1549" s="453"/>
      <c r="K1549" s="566"/>
      <c r="L1549" s="459"/>
      <c r="M1549" s="566"/>
      <c r="N1549" s="459"/>
      <c r="O1549" s="459"/>
    </row>
    <row r="1550" spans="3:15" ht="12.75" customHeight="1">
      <c r="C1550" s="449">
        <f>IF(D1521="","-",+C1549+1)</f>
        <v>2049</v>
      </c>
      <c r="D1550" s="856">
        <f t="shared" si="104"/>
        <v>4551446.5107843392</v>
      </c>
      <c r="E1550" s="857">
        <f t="shared" si="105"/>
        <v>281532.77386294876</v>
      </c>
      <c r="F1550" s="856">
        <f t="shared" si="106"/>
        <v>4269913.7369213905</v>
      </c>
      <c r="G1550" s="858">
        <f t="shared" si="102"/>
        <v>775115.18414828926</v>
      </c>
      <c r="H1550" s="859">
        <f t="shared" si="103"/>
        <v>775115.18414828926</v>
      </c>
      <c r="I1550" s="453">
        <f t="shared" si="101"/>
        <v>0</v>
      </c>
      <c r="J1550" s="453"/>
      <c r="K1550" s="566"/>
      <c r="L1550" s="459"/>
      <c r="M1550" s="566"/>
      <c r="N1550" s="459"/>
      <c r="O1550" s="459"/>
    </row>
    <row r="1551" spans="3:15" ht="12.75" customHeight="1">
      <c r="C1551" s="449">
        <f>IF(D1521="","-",+C1550+1)</f>
        <v>2050</v>
      </c>
      <c r="D1551" s="856">
        <f t="shared" si="104"/>
        <v>4269913.7369213905</v>
      </c>
      <c r="E1551" s="857">
        <f t="shared" si="105"/>
        <v>281532.77386294876</v>
      </c>
      <c r="F1551" s="856">
        <f t="shared" si="106"/>
        <v>3988380.9630584419</v>
      </c>
      <c r="G1551" s="858">
        <f t="shared" si="102"/>
        <v>743609.92391731008</v>
      </c>
      <c r="H1551" s="859">
        <f t="shared" si="103"/>
        <v>743609.92391731008</v>
      </c>
      <c r="I1551" s="453">
        <f t="shared" si="101"/>
        <v>0</v>
      </c>
      <c r="J1551" s="453"/>
      <c r="K1551" s="566"/>
      <c r="L1551" s="459"/>
      <c r="M1551" s="566"/>
      <c r="N1551" s="459"/>
      <c r="O1551" s="459"/>
    </row>
    <row r="1552" spans="3:15" ht="12.75" customHeight="1">
      <c r="C1552" s="449">
        <f>IF(D1521="","-",+C1551+1)</f>
        <v>2051</v>
      </c>
      <c r="D1552" s="856">
        <f t="shared" si="104"/>
        <v>3988380.9630584419</v>
      </c>
      <c r="E1552" s="857">
        <f t="shared" si="105"/>
        <v>281532.77386294876</v>
      </c>
      <c r="F1552" s="856">
        <f t="shared" si="106"/>
        <v>3706848.1891954932</v>
      </c>
      <c r="G1552" s="858">
        <f t="shared" si="102"/>
        <v>712104.6636863309</v>
      </c>
      <c r="H1552" s="859">
        <f t="shared" si="103"/>
        <v>712104.6636863309</v>
      </c>
      <c r="I1552" s="453">
        <f t="shared" si="101"/>
        <v>0</v>
      </c>
      <c r="J1552" s="453"/>
      <c r="K1552" s="566"/>
      <c r="L1552" s="459"/>
      <c r="M1552" s="566"/>
      <c r="N1552" s="459"/>
      <c r="O1552" s="459"/>
    </row>
    <row r="1553" spans="3:15" ht="12.75" customHeight="1">
      <c r="C1553" s="449">
        <f>IF(D1521="","-",+C1552+1)</f>
        <v>2052</v>
      </c>
      <c r="D1553" s="856">
        <f t="shared" si="104"/>
        <v>3706848.1891954932</v>
      </c>
      <c r="E1553" s="857">
        <f t="shared" si="105"/>
        <v>281532.77386294876</v>
      </c>
      <c r="F1553" s="856">
        <f t="shared" si="106"/>
        <v>3425315.4153325446</v>
      </c>
      <c r="G1553" s="858">
        <f t="shared" si="102"/>
        <v>680599.40345535171</v>
      </c>
      <c r="H1553" s="859">
        <f t="shared" si="103"/>
        <v>680599.40345535171</v>
      </c>
      <c r="I1553" s="453">
        <f t="shared" si="101"/>
        <v>0</v>
      </c>
      <c r="J1553" s="453"/>
      <c r="K1553" s="566"/>
      <c r="L1553" s="459"/>
      <c r="M1553" s="566"/>
      <c r="N1553" s="459"/>
      <c r="O1553" s="459"/>
    </row>
    <row r="1554" spans="3:15" ht="12.75" customHeight="1">
      <c r="C1554" s="449">
        <f>IF(D1521="","-",+C1553+1)</f>
        <v>2053</v>
      </c>
      <c r="D1554" s="856">
        <f t="shared" si="104"/>
        <v>3425315.4153325446</v>
      </c>
      <c r="E1554" s="857">
        <f t="shared" si="105"/>
        <v>281532.77386294876</v>
      </c>
      <c r="F1554" s="856">
        <f t="shared" si="106"/>
        <v>3143782.641469596</v>
      </c>
      <c r="G1554" s="858">
        <f t="shared" si="102"/>
        <v>649094.14322437253</v>
      </c>
      <c r="H1554" s="859">
        <f t="shared" si="103"/>
        <v>649094.14322437253</v>
      </c>
      <c r="I1554" s="453">
        <f t="shared" si="101"/>
        <v>0</v>
      </c>
      <c r="J1554" s="453"/>
      <c r="K1554" s="566"/>
      <c r="L1554" s="459"/>
      <c r="M1554" s="566"/>
      <c r="N1554" s="459"/>
      <c r="O1554" s="459"/>
    </row>
    <row r="1555" spans="3:15" ht="12.75" customHeight="1">
      <c r="C1555" s="449">
        <f>IF(D1521="","-",+C1554+1)</f>
        <v>2054</v>
      </c>
      <c r="D1555" s="856">
        <f t="shared" si="104"/>
        <v>3143782.641469596</v>
      </c>
      <c r="E1555" s="857">
        <f t="shared" si="105"/>
        <v>281532.77386294876</v>
      </c>
      <c r="F1555" s="856">
        <f t="shared" si="106"/>
        <v>2862249.8676066473</v>
      </c>
      <c r="G1555" s="858">
        <f t="shared" si="102"/>
        <v>617588.88299339334</v>
      </c>
      <c r="H1555" s="859">
        <f t="shared" si="103"/>
        <v>617588.88299339334</v>
      </c>
      <c r="I1555" s="453">
        <f t="shared" si="101"/>
        <v>0</v>
      </c>
      <c r="J1555" s="453"/>
      <c r="K1555" s="566"/>
      <c r="L1555" s="459"/>
      <c r="M1555" s="566"/>
      <c r="N1555" s="459"/>
      <c r="O1555" s="459"/>
    </row>
    <row r="1556" spans="3:15" ht="12.75" customHeight="1">
      <c r="C1556" s="449">
        <f>IF(D1521="","-",+C1555+1)</f>
        <v>2055</v>
      </c>
      <c r="D1556" s="856">
        <f t="shared" si="104"/>
        <v>2862249.8676066473</v>
      </c>
      <c r="E1556" s="857">
        <f t="shared" si="105"/>
        <v>281532.77386294876</v>
      </c>
      <c r="F1556" s="856">
        <f t="shared" si="106"/>
        <v>2580717.0937436987</v>
      </c>
      <c r="G1556" s="858">
        <f t="shared" si="102"/>
        <v>586083.62276241428</v>
      </c>
      <c r="H1556" s="859">
        <f t="shared" si="103"/>
        <v>586083.62276241428</v>
      </c>
      <c r="I1556" s="453">
        <f t="shared" si="101"/>
        <v>0</v>
      </c>
      <c r="J1556" s="453"/>
      <c r="K1556" s="566"/>
      <c r="L1556" s="459"/>
      <c r="M1556" s="566"/>
      <c r="N1556" s="459"/>
      <c r="O1556" s="459"/>
    </row>
    <row r="1557" spans="3:15" ht="12.75" customHeight="1">
      <c r="C1557" s="449">
        <f>IF(D1521="","-",+C1556+1)</f>
        <v>2056</v>
      </c>
      <c r="D1557" s="856">
        <f t="shared" si="104"/>
        <v>2580717.0937436987</v>
      </c>
      <c r="E1557" s="857">
        <f t="shared" si="105"/>
        <v>281532.77386294876</v>
      </c>
      <c r="F1557" s="856">
        <f t="shared" si="106"/>
        <v>2299184.31988075</v>
      </c>
      <c r="G1557" s="858">
        <f t="shared" si="102"/>
        <v>554578.36253143509</v>
      </c>
      <c r="H1557" s="859">
        <f t="shared" si="103"/>
        <v>554578.36253143509</v>
      </c>
      <c r="I1557" s="453">
        <f t="shared" si="101"/>
        <v>0</v>
      </c>
      <c r="J1557" s="453"/>
      <c r="K1557" s="566"/>
      <c r="L1557" s="459"/>
      <c r="M1557" s="566"/>
      <c r="N1557" s="459"/>
      <c r="O1557" s="459"/>
    </row>
    <row r="1558" spans="3:15" ht="12.75" customHeight="1">
      <c r="C1558" s="449">
        <f>IF(D1521="","-",+C1557+1)</f>
        <v>2057</v>
      </c>
      <c r="D1558" s="856">
        <f t="shared" si="104"/>
        <v>2299184.31988075</v>
      </c>
      <c r="E1558" s="857">
        <f t="shared" si="105"/>
        <v>281532.77386294876</v>
      </c>
      <c r="F1558" s="856">
        <f t="shared" si="106"/>
        <v>2017651.5460178014</v>
      </c>
      <c r="G1558" s="858">
        <f t="shared" si="102"/>
        <v>523073.10230045591</v>
      </c>
      <c r="H1558" s="859">
        <f t="shared" si="103"/>
        <v>523073.10230045591</v>
      </c>
      <c r="I1558" s="453">
        <f t="shared" si="101"/>
        <v>0</v>
      </c>
      <c r="J1558" s="453"/>
      <c r="K1558" s="566"/>
      <c r="L1558" s="459"/>
      <c r="M1558" s="566"/>
      <c r="N1558" s="459"/>
      <c r="O1558" s="459"/>
    </row>
    <row r="1559" spans="3:15" ht="12.75" customHeight="1">
      <c r="C1559" s="449">
        <f>IF(D1521="","-",+C1558+1)</f>
        <v>2058</v>
      </c>
      <c r="D1559" s="856">
        <f t="shared" si="104"/>
        <v>2017651.5460178014</v>
      </c>
      <c r="E1559" s="857">
        <f t="shared" si="105"/>
        <v>281532.77386294876</v>
      </c>
      <c r="F1559" s="856">
        <f t="shared" si="106"/>
        <v>1736118.7721548527</v>
      </c>
      <c r="G1559" s="858">
        <f t="shared" si="102"/>
        <v>491567.84206947678</v>
      </c>
      <c r="H1559" s="859">
        <f t="shared" si="103"/>
        <v>491567.84206947678</v>
      </c>
      <c r="I1559" s="453">
        <f t="shared" si="101"/>
        <v>0</v>
      </c>
      <c r="J1559" s="453"/>
      <c r="K1559" s="566"/>
      <c r="L1559" s="459"/>
      <c r="M1559" s="566"/>
      <c r="N1559" s="459"/>
      <c r="O1559" s="459"/>
    </row>
    <row r="1560" spans="3:15" ht="12.75" customHeight="1">
      <c r="C1560" s="449">
        <f>IF(D1521="","-",+C1559+1)</f>
        <v>2059</v>
      </c>
      <c r="D1560" s="856">
        <f t="shared" si="104"/>
        <v>1736118.7721548527</v>
      </c>
      <c r="E1560" s="857">
        <f t="shared" si="105"/>
        <v>281532.77386294876</v>
      </c>
      <c r="F1560" s="856">
        <f t="shared" si="106"/>
        <v>1454585.9982919041</v>
      </c>
      <c r="G1560" s="858">
        <f t="shared" si="102"/>
        <v>460062.58183849766</v>
      </c>
      <c r="H1560" s="859">
        <f t="shared" si="103"/>
        <v>460062.58183849766</v>
      </c>
      <c r="I1560" s="453">
        <f t="shared" si="101"/>
        <v>0</v>
      </c>
      <c r="J1560" s="453"/>
      <c r="K1560" s="566"/>
      <c r="L1560" s="459"/>
      <c r="M1560" s="566"/>
      <c r="N1560" s="459"/>
      <c r="O1560" s="459"/>
    </row>
    <row r="1561" spans="3:15" ht="12.75" customHeight="1">
      <c r="C1561" s="449">
        <f>IF(D1521="","-",+C1560+1)</f>
        <v>2060</v>
      </c>
      <c r="D1561" s="856">
        <f t="shared" si="104"/>
        <v>1454585.9982919041</v>
      </c>
      <c r="E1561" s="857">
        <f t="shared" si="105"/>
        <v>281532.77386294876</v>
      </c>
      <c r="F1561" s="856">
        <f t="shared" si="106"/>
        <v>1173053.2244289555</v>
      </c>
      <c r="G1561" s="858">
        <f t="shared" si="102"/>
        <v>428557.32160751848</v>
      </c>
      <c r="H1561" s="859">
        <f t="shared" si="103"/>
        <v>428557.32160751848</v>
      </c>
      <c r="I1561" s="453">
        <f t="shared" si="101"/>
        <v>0</v>
      </c>
      <c r="J1561" s="453"/>
      <c r="K1561" s="566"/>
      <c r="L1561" s="459"/>
      <c r="M1561" s="566"/>
      <c r="N1561" s="459"/>
      <c r="O1561" s="459"/>
    </row>
    <row r="1562" spans="3:15" ht="12.75" customHeight="1">
      <c r="C1562" s="449">
        <f>IF(D1521="","-",+C1561+1)</f>
        <v>2061</v>
      </c>
      <c r="D1562" s="856">
        <f t="shared" si="104"/>
        <v>1173053.2244289555</v>
      </c>
      <c r="E1562" s="857">
        <f t="shared" si="105"/>
        <v>281532.77386294876</v>
      </c>
      <c r="F1562" s="856">
        <f t="shared" si="106"/>
        <v>891520.45056600671</v>
      </c>
      <c r="G1562" s="858">
        <f t="shared" si="102"/>
        <v>397052.06137653929</v>
      </c>
      <c r="H1562" s="859">
        <f t="shared" si="103"/>
        <v>397052.06137653929</v>
      </c>
      <c r="I1562" s="453">
        <f t="shared" si="101"/>
        <v>0</v>
      </c>
      <c r="J1562" s="453"/>
      <c r="K1562" s="566"/>
      <c r="L1562" s="459"/>
      <c r="M1562" s="566"/>
      <c r="N1562" s="459"/>
      <c r="O1562" s="459"/>
    </row>
    <row r="1563" spans="3:15" ht="12.75" customHeight="1">
      <c r="C1563" s="449">
        <f>IF(D1521="","-",+C1562+1)</f>
        <v>2062</v>
      </c>
      <c r="D1563" s="856">
        <f t="shared" si="104"/>
        <v>891520.45056600671</v>
      </c>
      <c r="E1563" s="857">
        <f t="shared" si="105"/>
        <v>281532.77386294876</v>
      </c>
      <c r="F1563" s="856">
        <f t="shared" si="106"/>
        <v>609987.67670305795</v>
      </c>
      <c r="G1563" s="858">
        <f t="shared" si="102"/>
        <v>365546.80114556011</v>
      </c>
      <c r="H1563" s="859">
        <f t="shared" si="103"/>
        <v>365546.80114556011</v>
      </c>
      <c r="I1563" s="453">
        <f t="shared" si="101"/>
        <v>0</v>
      </c>
      <c r="J1563" s="453"/>
      <c r="K1563" s="566"/>
      <c r="L1563" s="459"/>
      <c r="M1563" s="566"/>
      <c r="N1563" s="459"/>
      <c r="O1563" s="459"/>
    </row>
    <row r="1564" spans="3:15" ht="12.75" customHeight="1">
      <c r="C1564" s="449">
        <f>IF(D1521="","-",+C1563+1)</f>
        <v>2063</v>
      </c>
      <c r="D1564" s="856">
        <f t="shared" si="104"/>
        <v>609987.67670305795</v>
      </c>
      <c r="E1564" s="857">
        <f t="shared" si="105"/>
        <v>281532.77386294876</v>
      </c>
      <c r="F1564" s="856">
        <f t="shared" si="106"/>
        <v>328454.90284010919</v>
      </c>
      <c r="G1564" s="858">
        <f t="shared" si="102"/>
        <v>334041.54091458098</v>
      </c>
      <c r="H1564" s="859">
        <f t="shared" si="103"/>
        <v>334041.54091458098</v>
      </c>
      <c r="I1564" s="453">
        <f t="shared" si="101"/>
        <v>0</v>
      </c>
      <c r="J1564" s="453"/>
      <c r="K1564" s="566"/>
      <c r="L1564" s="459"/>
      <c r="M1564" s="566"/>
      <c r="N1564" s="459"/>
      <c r="O1564" s="459"/>
    </row>
    <row r="1565" spans="3:15" ht="12.75" customHeight="1">
      <c r="C1565" s="449">
        <f>IF(D1521="","-",+C1564+1)</f>
        <v>2064</v>
      </c>
      <c r="D1565" s="856">
        <f t="shared" si="104"/>
        <v>328454.90284010919</v>
      </c>
      <c r="E1565" s="857">
        <f t="shared" si="105"/>
        <v>281532.77386294876</v>
      </c>
      <c r="F1565" s="856">
        <f t="shared" si="106"/>
        <v>46922.128977160435</v>
      </c>
      <c r="G1565" s="858">
        <f t="shared" si="102"/>
        <v>302536.2806836018</v>
      </c>
      <c r="H1565" s="859">
        <f t="shared" si="103"/>
        <v>302536.2806836018</v>
      </c>
      <c r="I1565" s="453">
        <f t="shared" si="101"/>
        <v>0</v>
      </c>
      <c r="J1565" s="453"/>
      <c r="K1565" s="566"/>
      <c r="L1565" s="459"/>
      <c r="M1565" s="566"/>
      <c r="N1565" s="459"/>
      <c r="O1565" s="459"/>
    </row>
    <row r="1566" spans="3:15" ht="12.75" customHeight="1">
      <c r="C1566" s="449">
        <f>IF(D1521="","-",+C1565+1)</f>
        <v>2065</v>
      </c>
      <c r="D1566" s="856">
        <f t="shared" si="104"/>
        <v>46922.128977160435</v>
      </c>
      <c r="E1566" s="857">
        <f t="shared" si="105"/>
        <v>46922.128977160435</v>
      </c>
      <c r="F1566" s="856">
        <f t="shared" si="106"/>
        <v>0</v>
      </c>
      <c r="G1566" s="858">
        <f t="shared" si="102"/>
        <v>49547.56732974216</v>
      </c>
      <c r="H1566" s="859">
        <f t="shared" si="103"/>
        <v>49547.56732974216</v>
      </c>
      <c r="I1566" s="453">
        <f t="shared" si="101"/>
        <v>0</v>
      </c>
      <c r="J1566" s="453"/>
      <c r="K1566" s="566"/>
      <c r="L1566" s="459"/>
      <c r="M1566" s="566"/>
      <c r="N1566" s="459"/>
      <c r="O1566" s="459"/>
    </row>
    <row r="1567" spans="3:15" ht="12.75" customHeight="1">
      <c r="C1567" s="449">
        <f>IF(D1521="","-",+C1566+1)</f>
        <v>2066</v>
      </c>
      <c r="D1567" s="856">
        <f t="shared" si="104"/>
        <v>0</v>
      </c>
      <c r="E1567" s="857">
        <f t="shared" si="105"/>
        <v>0</v>
      </c>
      <c r="F1567" s="856">
        <f t="shared" si="106"/>
        <v>0</v>
      </c>
      <c r="G1567" s="858">
        <f t="shared" si="102"/>
        <v>0</v>
      </c>
      <c r="H1567" s="859">
        <f t="shared" si="103"/>
        <v>0</v>
      </c>
      <c r="I1567" s="453">
        <f t="shared" si="101"/>
        <v>0</v>
      </c>
      <c r="J1567" s="453"/>
      <c r="K1567" s="566"/>
      <c r="L1567" s="459"/>
      <c r="M1567" s="566"/>
      <c r="N1567" s="459"/>
      <c r="O1567" s="459"/>
    </row>
    <row r="1568" spans="3:15" ht="12.75" customHeight="1">
      <c r="C1568" s="449">
        <f>IF(D1521="","-",+C1567+1)</f>
        <v>2067</v>
      </c>
      <c r="D1568" s="856">
        <f t="shared" si="104"/>
        <v>0</v>
      </c>
      <c r="E1568" s="857">
        <f t="shared" si="105"/>
        <v>0</v>
      </c>
      <c r="F1568" s="856">
        <f t="shared" si="106"/>
        <v>0</v>
      </c>
      <c r="G1568" s="858">
        <f t="shared" si="102"/>
        <v>0</v>
      </c>
      <c r="H1568" s="859">
        <f t="shared" si="103"/>
        <v>0</v>
      </c>
      <c r="I1568" s="453">
        <f t="shared" si="101"/>
        <v>0</v>
      </c>
      <c r="J1568" s="453"/>
      <c r="K1568" s="566"/>
      <c r="L1568" s="459"/>
      <c r="M1568" s="566"/>
      <c r="N1568" s="459"/>
      <c r="O1568" s="459"/>
    </row>
    <row r="1569" spans="3:15" ht="12.75" customHeight="1">
      <c r="C1569" s="449">
        <f>IF(D1521="","-",+C1568+1)</f>
        <v>2068</v>
      </c>
      <c r="D1569" s="856">
        <f t="shared" si="104"/>
        <v>0</v>
      </c>
      <c r="E1569" s="857">
        <f t="shared" si="105"/>
        <v>0</v>
      </c>
      <c r="F1569" s="856">
        <f t="shared" si="106"/>
        <v>0</v>
      </c>
      <c r="G1569" s="858">
        <f t="shared" si="102"/>
        <v>0</v>
      </c>
      <c r="H1569" s="859">
        <f t="shared" si="103"/>
        <v>0</v>
      </c>
      <c r="I1569" s="453">
        <f t="shared" si="101"/>
        <v>0</v>
      </c>
      <c r="J1569" s="453"/>
      <c r="K1569" s="566"/>
      <c r="L1569" s="459"/>
      <c r="M1569" s="566"/>
      <c r="N1569" s="459"/>
      <c r="O1569" s="459"/>
    </row>
    <row r="1570" spans="3:15" ht="12.75" customHeight="1">
      <c r="C1570" s="449">
        <f>IF(D1521="","-",+C1569+1)</f>
        <v>2069</v>
      </c>
      <c r="D1570" s="856">
        <f t="shared" si="104"/>
        <v>0</v>
      </c>
      <c r="E1570" s="857">
        <f t="shared" si="105"/>
        <v>0</v>
      </c>
      <c r="F1570" s="856">
        <f t="shared" si="106"/>
        <v>0</v>
      </c>
      <c r="G1570" s="858">
        <f t="shared" si="102"/>
        <v>0</v>
      </c>
      <c r="H1570" s="859">
        <f t="shared" si="103"/>
        <v>0</v>
      </c>
      <c r="I1570" s="453">
        <f t="shared" si="101"/>
        <v>0</v>
      </c>
      <c r="J1570" s="453"/>
      <c r="K1570" s="566"/>
      <c r="L1570" s="459"/>
      <c r="M1570" s="566"/>
      <c r="N1570" s="459"/>
      <c r="O1570" s="459"/>
    </row>
    <row r="1571" spans="3:15" ht="12.75" customHeight="1">
      <c r="C1571" s="449">
        <f>IF(D1521="","-",+C1570+1)</f>
        <v>2070</v>
      </c>
      <c r="D1571" s="856">
        <f t="shared" si="104"/>
        <v>0</v>
      </c>
      <c r="E1571" s="857">
        <f t="shared" si="105"/>
        <v>0</v>
      </c>
      <c r="F1571" s="856">
        <f t="shared" si="106"/>
        <v>0</v>
      </c>
      <c r="G1571" s="858">
        <f t="shared" si="102"/>
        <v>0</v>
      </c>
      <c r="H1571" s="859">
        <f t="shared" si="103"/>
        <v>0</v>
      </c>
      <c r="I1571" s="453">
        <f t="shared" si="101"/>
        <v>0</v>
      </c>
      <c r="J1571" s="453"/>
      <c r="K1571" s="566"/>
      <c r="L1571" s="459"/>
      <c r="M1571" s="566"/>
      <c r="N1571" s="459"/>
      <c r="O1571" s="459"/>
    </row>
    <row r="1572" spans="3:15" ht="12.75" customHeight="1">
      <c r="C1572" s="449">
        <f>IF(D1521="","-",+C1571+1)</f>
        <v>2071</v>
      </c>
      <c r="D1572" s="856">
        <f t="shared" si="104"/>
        <v>0</v>
      </c>
      <c r="E1572" s="857">
        <f t="shared" si="105"/>
        <v>0</v>
      </c>
      <c r="F1572" s="856">
        <f t="shared" si="106"/>
        <v>0</v>
      </c>
      <c r="G1572" s="858">
        <f t="shared" si="102"/>
        <v>0</v>
      </c>
      <c r="H1572" s="859">
        <f t="shared" si="103"/>
        <v>0</v>
      </c>
      <c r="I1572" s="453">
        <f t="shared" si="101"/>
        <v>0</v>
      </c>
      <c r="J1572" s="453"/>
      <c r="K1572" s="566"/>
      <c r="L1572" s="459"/>
      <c r="M1572" s="566"/>
      <c r="N1572" s="459"/>
      <c r="O1572" s="459"/>
    </row>
    <row r="1573" spans="3:15" ht="12.75" customHeight="1">
      <c r="C1573" s="449">
        <f>IF(D1521="","-",+C1572+1)</f>
        <v>2072</v>
      </c>
      <c r="D1573" s="856">
        <f t="shared" si="104"/>
        <v>0</v>
      </c>
      <c r="E1573" s="857">
        <f t="shared" si="105"/>
        <v>0</v>
      </c>
      <c r="F1573" s="856">
        <f t="shared" si="106"/>
        <v>0</v>
      </c>
      <c r="G1573" s="858">
        <f t="shared" si="102"/>
        <v>0</v>
      </c>
      <c r="H1573" s="859">
        <f t="shared" si="103"/>
        <v>0</v>
      </c>
      <c r="I1573" s="453">
        <f t="shared" si="101"/>
        <v>0</v>
      </c>
      <c r="J1573" s="453"/>
      <c r="K1573" s="566"/>
      <c r="L1573" s="459"/>
      <c r="M1573" s="566"/>
      <c r="N1573" s="459"/>
      <c r="O1573" s="459"/>
    </row>
    <row r="1574" spans="3:15" ht="12.75" customHeight="1">
      <c r="C1574" s="449">
        <f>IF(D1521="","-",+C1573+1)</f>
        <v>2073</v>
      </c>
      <c r="D1574" s="856">
        <f t="shared" si="104"/>
        <v>0</v>
      </c>
      <c r="E1574" s="857">
        <f t="shared" si="105"/>
        <v>0</v>
      </c>
      <c r="F1574" s="856">
        <f t="shared" si="106"/>
        <v>0</v>
      </c>
      <c r="G1574" s="858">
        <f t="shared" si="102"/>
        <v>0</v>
      </c>
      <c r="H1574" s="859">
        <f t="shared" si="103"/>
        <v>0</v>
      </c>
      <c r="I1574" s="453">
        <f t="shared" si="101"/>
        <v>0</v>
      </c>
      <c r="J1574" s="453"/>
      <c r="K1574" s="566"/>
      <c r="L1574" s="459"/>
      <c r="M1574" s="566"/>
      <c r="N1574" s="459"/>
      <c r="O1574" s="459"/>
    </row>
    <row r="1575" spans="3:15" ht="12.75" customHeight="1">
      <c r="C1575" s="449">
        <f>IF(D1521="","-",+C1574+1)</f>
        <v>2074</v>
      </c>
      <c r="D1575" s="856">
        <f t="shared" si="104"/>
        <v>0</v>
      </c>
      <c r="E1575" s="857">
        <f t="shared" si="105"/>
        <v>0</v>
      </c>
      <c r="F1575" s="856">
        <f t="shared" si="106"/>
        <v>0</v>
      </c>
      <c r="G1575" s="858">
        <f t="shared" si="102"/>
        <v>0</v>
      </c>
      <c r="H1575" s="859">
        <f t="shared" si="103"/>
        <v>0</v>
      </c>
      <c r="I1575" s="453">
        <f t="shared" si="101"/>
        <v>0</v>
      </c>
      <c r="J1575" s="453"/>
      <c r="K1575" s="566"/>
      <c r="L1575" s="459"/>
      <c r="M1575" s="566"/>
      <c r="N1575" s="459"/>
      <c r="O1575" s="459"/>
    </row>
    <row r="1576" spans="3:15" ht="12.75" customHeight="1">
      <c r="C1576" s="449">
        <f>IF(D1521="","-",+C1575+1)</f>
        <v>2075</v>
      </c>
      <c r="D1576" s="856">
        <f t="shared" si="104"/>
        <v>0</v>
      </c>
      <c r="E1576" s="857">
        <f t="shared" si="105"/>
        <v>0</v>
      </c>
      <c r="F1576" s="856">
        <f t="shared" si="106"/>
        <v>0</v>
      </c>
      <c r="G1576" s="858">
        <f t="shared" si="102"/>
        <v>0</v>
      </c>
      <c r="H1576" s="859">
        <f t="shared" si="103"/>
        <v>0</v>
      </c>
      <c r="I1576" s="453">
        <f t="shared" si="101"/>
        <v>0</v>
      </c>
      <c r="J1576" s="453"/>
      <c r="K1576" s="566"/>
      <c r="L1576" s="459"/>
      <c r="M1576" s="566"/>
      <c r="N1576" s="459"/>
      <c r="O1576" s="459"/>
    </row>
    <row r="1577" spans="3:15" ht="12.75" customHeight="1">
      <c r="C1577" s="449">
        <f>IF(D1521="","-",+C1576+1)</f>
        <v>2076</v>
      </c>
      <c r="D1577" s="856">
        <f t="shared" si="104"/>
        <v>0</v>
      </c>
      <c r="E1577" s="857">
        <f t="shared" si="105"/>
        <v>0</v>
      </c>
      <c r="F1577" s="856">
        <f t="shared" si="106"/>
        <v>0</v>
      </c>
      <c r="G1577" s="858">
        <f t="shared" si="102"/>
        <v>0</v>
      </c>
      <c r="H1577" s="859">
        <f t="shared" si="103"/>
        <v>0</v>
      </c>
      <c r="I1577" s="453">
        <f t="shared" si="101"/>
        <v>0</v>
      </c>
      <c r="J1577" s="453"/>
      <c r="K1577" s="566"/>
      <c r="L1577" s="459"/>
      <c r="M1577" s="566"/>
      <c r="N1577" s="459"/>
      <c r="O1577" s="459"/>
    </row>
    <row r="1578" spans="3:15" ht="12.75" customHeight="1">
      <c r="C1578" s="449">
        <f>IF(D1521="","-",+C1577+1)</f>
        <v>2077</v>
      </c>
      <c r="D1578" s="856">
        <f t="shared" si="104"/>
        <v>0</v>
      </c>
      <c r="E1578" s="857">
        <f t="shared" si="105"/>
        <v>0</v>
      </c>
      <c r="F1578" s="856">
        <f t="shared" si="106"/>
        <v>0</v>
      </c>
      <c r="G1578" s="858">
        <f t="shared" si="102"/>
        <v>0</v>
      </c>
      <c r="H1578" s="859">
        <f t="shared" si="103"/>
        <v>0</v>
      </c>
      <c r="I1578" s="453">
        <f t="shared" si="101"/>
        <v>0</v>
      </c>
      <c r="J1578" s="453"/>
      <c r="K1578" s="566"/>
      <c r="L1578" s="459"/>
      <c r="M1578" s="566"/>
      <c r="N1578" s="459"/>
      <c r="O1578" s="459"/>
    </row>
    <row r="1579" spans="3:15" ht="12.75" customHeight="1">
      <c r="C1579" s="449">
        <f>IF(D1521="","-",+C1578+1)</f>
        <v>2078</v>
      </c>
      <c r="D1579" s="856">
        <f t="shared" si="104"/>
        <v>0</v>
      </c>
      <c r="E1579" s="857">
        <f t="shared" si="105"/>
        <v>0</v>
      </c>
      <c r="F1579" s="856">
        <f t="shared" si="106"/>
        <v>0</v>
      </c>
      <c r="G1579" s="858">
        <f t="shared" si="102"/>
        <v>0</v>
      </c>
      <c r="H1579" s="859">
        <f t="shared" si="103"/>
        <v>0</v>
      </c>
      <c r="I1579" s="453">
        <f t="shared" si="101"/>
        <v>0</v>
      </c>
      <c r="J1579" s="453"/>
      <c r="K1579" s="566"/>
      <c r="L1579" s="459"/>
      <c r="M1579" s="566"/>
      <c r="N1579" s="459"/>
      <c r="O1579" s="459"/>
    </row>
    <row r="1580" spans="3:15" ht="12.75" customHeight="1">
      <c r="C1580" s="449">
        <f>IF(D1521="","-",+C1579+1)</f>
        <v>2079</v>
      </c>
      <c r="D1580" s="856">
        <f t="shared" si="104"/>
        <v>0</v>
      </c>
      <c r="E1580" s="857">
        <f t="shared" si="105"/>
        <v>0</v>
      </c>
      <c r="F1580" s="856">
        <f t="shared" si="106"/>
        <v>0</v>
      </c>
      <c r="G1580" s="858">
        <f t="shared" si="102"/>
        <v>0</v>
      </c>
      <c r="H1580" s="859">
        <f t="shared" si="103"/>
        <v>0</v>
      </c>
      <c r="I1580" s="453">
        <f t="shared" si="101"/>
        <v>0</v>
      </c>
      <c r="J1580" s="453"/>
      <c r="K1580" s="566"/>
      <c r="L1580" s="459"/>
      <c r="M1580" s="566"/>
      <c r="N1580" s="459"/>
      <c r="O1580" s="459"/>
    </row>
    <row r="1581" spans="3:15" ht="12.75" customHeight="1">
      <c r="C1581" s="449">
        <f>IF(D1521="","-",+C1580+1)</f>
        <v>2080</v>
      </c>
      <c r="D1581" s="856">
        <f t="shared" si="104"/>
        <v>0</v>
      </c>
      <c r="E1581" s="857">
        <f t="shared" si="105"/>
        <v>0</v>
      </c>
      <c r="F1581" s="856">
        <f t="shared" si="106"/>
        <v>0</v>
      </c>
      <c r="G1581" s="858">
        <f t="shared" si="102"/>
        <v>0</v>
      </c>
      <c r="H1581" s="859">
        <f t="shared" si="103"/>
        <v>0</v>
      </c>
      <c r="I1581" s="453">
        <f t="shared" si="101"/>
        <v>0</v>
      </c>
      <c r="J1581" s="453"/>
      <c r="K1581" s="566"/>
      <c r="L1581" s="459"/>
      <c r="M1581" s="566"/>
      <c r="N1581" s="459"/>
      <c r="O1581" s="459"/>
    </row>
    <row r="1582" spans="3:15" ht="12.75" customHeight="1">
      <c r="C1582" s="449">
        <f>IF(D1521="","-",+C1581+1)</f>
        <v>2081</v>
      </c>
      <c r="D1582" s="856">
        <f t="shared" si="104"/>
        <v>0</v>
      </c>
      <c r="E1582" s="857">
        <f t="shared" si="105"/>
        <v>0</v>
      </c>
      <c r="F1582" s="856">
        <f t="shared" si="106"/>
        <v>0</v>
      </c>
      <c r="G1582" s="858">
        <f t="shared" si="102"/>
        <v>0</v>
      </c>
      <c r="H1582" s="859">
        <f t="shared" si="103"/>
        <v>0</v>
      </c>
      <c r="I1582" s="453">
        <f t="shared" si="101"/>
        <v>0</v>
      </c>
      <c r="J1582" s="453"/>
      <c r="K1582" s="566"/>
      <c r="L1582" s="459"/>
      <c r="M1582" s="566"/>
      <c r="N1582" s="459"/>
      <c r="O1582" s="459"/>
    </row>
    <row r="1583" spans="3:15" ht="12.75" customHeight="1">
      <c r="C1583" s="449">
        <f>IF(D1521="","-",+C1582+1)</f>
        <v>2082</v>
      </c>
      <c r="D1583" s="856">
        <f t="shared" si="104"/>
        <v>0</v>
      </c>
      <c r="E1583" s="857">
        <f t="shared" si="105"/>
        <v>0</v>
      </c>
      <c r="F1583" s="856">
        <f t="shared" si="106"/>
        <v>0</v>
      </c>
      <c r="G1583" s="858">
        <f t="shared" si="102"/>
        <v>0</v>
      </c>
      <c r="H1583" s="859">
        <f t="shared" si="103"/>
        <v>0</v>
      </c>
      <c r="I1583" s="453">
        <f t="shared" si="101"/>
        <v>0</v>
      </c>
      <c r="J1583" s="453"/>
      <c r="K1583" s="566"/>
      <c r="L1583" s="459"/>
      <c r="M1583" s="566"/>
      <c r="N1583" s="459"/>
      <c r="O1583" s="459"/>
    </row>
    <row r="1584" spans="3:15" ht="12.75" customHeight="1">
      <c r="C1584" s="449">
        <f>IF(D1521="","-",+C1583+1)</f>
        <v>2083</v>
      </c>
      <c r="D1584" s="856">
        <f t="shared" si="104"/>
        <v>0</v>
      </c>
      <c r="E1584" s="857">
        <f t="shared" si="105"/>
        <v>0</v>
      </c>
      <c r="F1584" s="856">
        <f t="shared" si="106"/>
        <v>0</v>
      </c>
      <c r="G1584" s="858">
        <f t="shared" si="102"/>
        <v>0</v>
      </c>
      <c r="H1584" s="859">
        <f t="shared" si="103"/>
        <v>0</v>
      </c>
      <c r="I1584" s="453">
        <f t="shared" si="101"/>
        <v>0</v>
      </c>
      <c r="J1584" s="453"/>
      <c r="K1584" s="566"/>
      <c r="L1584" s="459"/>
      <c r="M1584" s="566"/>
      <c r="N1584" s="459"/>
      <c r="O1584" s="459"/>
    </row>
    <row r="1585" spans="3:15" ht="12.75" customHeight="1">
      <c r="C1585" s="449">
        <f>IF(D1521="","-",+C1584+1)</f>
        <v>2084</v>
      </c>
      <c r="D1585" s="856">
        <f t="shared" si="104"/>
        <v>0</v>
      </c>
      <c r="E1585" s="857">
        <f t="shared" si="105"/>
        <v>0</v>
      </c>
      <c r="F1585" s="856">
        <f t="shared" si="106"/>
        <v>0</v>
      </c>
      <c r="G1585" s="858">
        <f t="shared" si="102"/>
        <v>0</v>
      </c>
      <c r="H1585" s="859">
        <f t="shared" si="103"/>
        <v>0</v>
      </c>
      <c r="I1585" s="453">
        <f t="shared" si="101"/>
        <v>0</v>
      </c>
      <c r="J1585" s="453"/>
      <c r="K1585" s="566"/>
      <c r="L1585" s="459"/>
      <c r="M1585" s="566"/>
      <c r="N1585" s="459"/>
      <c r="O1585" s="459"/>
    </row>
    <row r="1586" spans="3:15" ht="12.75" customHeight="1" thickBot="1">
      <c r="C1586" s="461">
        <f>IF(D1521="","-",+C1585+1)</f>
        <v>2085</v>
      </c>
      <c r="D1586" s="887">
        <f t="shared" si="104"/>
        <v>0</v>
      </c>
      <c r="E1586" s="857">
        <f t="shared" si="105"/>
        <v>0</v>
      </c>
      <c r="F1586" s="888">
        <f t="shared" si="106"/>
        <v>0</v>
      </c>
      <c r="G1586" s="884">
        <f t="shared" si="102"/>
        <v>0</v>
      </c>
      <c r="H1586" s="885">
        <f t="shared" si="103"/>
        <v>0</v>
      </c>
      <c r="I1586" s="465">
        <f t="shared" si="101"/>
        <v>0</v>
      </c>
      <c r="J1586" s="453"/>
      <c r="K1586" s="567"/>
      <c r="L1586" s="467"/>
      <c r="M1586" s="567"/>
      <c r="N1586" s="467"/>
      <c r="O1586" s="467"/>
    </row>
    <row r="1587" spans="3:15" ht="12.75" customHeight="1">
      <c r="C1587" s="412" t="s">
        <v>288</v>
      </c>
      <c r="D1587" s="832"/>
      <c r="E1587" s="832">
        <f>SUM(E1527:E1586)</f>
        <v>10979778.180655001</v>
      </c>
      <c r="F1587" s="832"/>
      <c r="G1587" s="832">
        <f>SUM(G1527:G1586)</f>
        <v>35144312.777816027</v>
      </c>
      <c r="H1587" s="832">
        <f>SUM(H1527:H1586)</f>
        <v>35144312.777816027</v>
      </c>
      <c r="I1587" s="832">
        <f>SUM(I1527:I1586)</f>
        <v>0</v>
      </c>
      <c r="J1587" s="832"/>
      <c r="K1587" s="832"/>
      <c r="L1587" s="832"/>
      <c r="M1587" s="832"/>
      <c r="N1587" s="832"/>
      <c r="O1587" s="4"/>
    </row>
    <row r="1588" spans="3:15" ht="12.75" customHeight="1">
      <c r="D1588" s="67"/>
      <c r="E1588" s="4"/>
      <c r="F1588" s="4"/>
      <c r="G1588" s="4"/>
      <c r="H1588" s="831"/>
      <c r="I1588" s="831"/>
      <c r="J1588" s="832"/>
      <c r="K1588" s="831"/>
      <c r="L1588" s="831"/>
      <c r="M1588" s="831"/>
      <c r="N1588" s="831"/>
      <c r="O1588" s="4"/>
    </row>
    <row r="1589" spans="3:15" ht="12.75" customHeight="1">
      <c r="C1589" s="4" t="s">
        <v>601</v>
      </c>
      <c r="D1589" s="67"/>
      <c r="E1589" s="4"/>
      <c r="F1589" s="4"/>
      <c r="G1589" s="4"/>
      <c r="H1589" s="831"/>
      <c r="I1589" s="831"/>
      <c r="J1589" s="832"/>
      <c r="K1589" s="831"/>
      <c r="L1589" s="831"/>
      <c r="M1589" s="831"/>
      <c r="N1589" s="831"/>
      <c r="O1589" s="4"/>
    </row>
    <row r="1590" spans="3:15" ht="12.75" customHeight="1">
      <c r="D1590" s="67"/>
      <c r="E1590" s="4"/>
      <c r="F1590" s="4"/>
      <c r="G1590" s="4"/>
      <c r="H1590" s="831"/>
      <c r="I1590" s="831"/>
      <c r="J1590" s="832"/>
      <c r="K1590" s="831"/>
      <c r="L1590" s="831"/>
      <c r="M1590" s="831"/>
      <c r="N1590" s="831"/>
      <c r="O1590" s="4"/>
    </row>
    <row r="1591" spans="3:15" ht="12.75" customHeight="1">
      <c r="C1591" s="4" t="s">
        <v>602</v>
      </c>
      <c r="D1591" s="412"/>
      <c r="E1591" s="412"/>
      <c r="F1591" s="412"/>
      <c r="G1591" s="832"/>
      <c r="H1591" s="832"/>
      <c r="I1591" s="414"/>
      <c r="J1591" s="414"/>
      <c r="K1591" s="414"/>
      <c r="L1591" s="414"/>
      <c r="M1591" s="414"/>
      <c r="N1591" s="414"/>
      <c r="O1591" s="4"/>
    </row>
    <row r="1592" spans="3:15" ht="12.75" customHeight="1">
      <c r="C1592" s="4" t="s">
        <v>476</v>
      </c>
      <c r="D1592" s="412"/>
      <c r="E1592" s="412"/>
      <c r="F1592" s="412"/>
      <c r="G1592" s="832"/>
      <c r="H1592" s="832"/>
      <c r="I1592" s="414"/>
      <c r="J1592" s="414"/>
      <c r="K1592" s="414"/>
      <c r="L1592" s="414"/>
      <c r="M1592" s="414"/>
      <c r="N1592" s="414"/>
      <c r="O1592" s="4"/>
    </row>
    <row r="1593" spans="3:15" ht="12.75" customHeight="1">
      <c r="C1593" s="4" t="s">
        <v>289</v>
      </c>
      <c r="D1593" s="412"/>
      <c r="E1593" s="412"/>
      <c r="F1593" s="412"/>
      <c r="G1593" s="832"/>
      <c r="H1593" s="832"/>
      <c r="I1593" s="414"/>
      <c r="J1593" s="414"/>
      <c r="K1593" s="414"/>
      <c r="L1593" s="414"/>
      <c r="M1593" s="414"/>
      <c r="N1593" s="414"/>
      <c r="O1593" s="4"/>
    </row>
    <row r="1594" spans="3:15" ht="12.75" customHeight="1">
      <c r="C1594" s="413"/>
      <c r="D1594" s="412"/>
      <c r="E1594" s="412"/>
      <c r="F1594" s="412"/>
      <c r="G1594" s="832"/>
      <c r="H1594" s="832"/>
      <c r="I1594" s="414"/>
      <c r="J1594" s="414"/>
      <c r="K1594" s="414"/>
      <c r="L1594" s="414"/>
      <c r="M1594" s="414"/>
      <c r="N1594" s="414"/>
      <c r="O1594" s="4"/>
    </row>
    <row r="1595" spans="3:15" ht="12.75" customHeight="1">
      <c r="C1595" s="1279" t="s">
        <v>460</v>
      </c>
      <c r="D1595" s="1279"/>
      <c r="E1595" s="1279"/>
      <c r="F1595" s="1279"/>
      <c r="G1595" s="1279"/>
      <c r="H1595" s="1279"/>
      <c r="I1595" s="1279"/>
      <c r="J1595" s="1279"/>
      <c r="K1595" s="1279"/>
      <c r="L1595" s="1279"/>
      <c r="M1595" s="1279"/>
      <c r="N1595" s="1279"/>
      <c r="O1595" s="1279"/>
    </row>
    <row r="1596" spans="3:15" ht="12.75" customHeight="1">
      <c r="C1596" s="1279"/>
      <c r="D1596" s="1279"/>
      <c r="E1596" s="1279"/>
      <c r="F1596" s="1279"/>
      <c r="G1596" s="1279"/>
      <c r="H1596" s="1279"/>
      <c r="I1596" s="1279"/>
      <c r="J1596" s="1279"/>
      <c r="K1596" s="1279"/>
      <c r="L1596" s="1279"/>
      <c r="M1596" s="1279"/>
      <c r="N1596" s="1279"/>
      <c r="O1596" s="1279"/>
    </row>
  </sheetData>
  <mergeCells count="57">
    <mergeCell ref="C1595:O1596"/>
    <mergeCell ref="D1427:H1428"/>
    <mergeCell ref="K1431:O1431"/>
    <mergeCell ref="C1506:O1507"/>
    <mergeCell ref="D1516:H1516"/>
    <mergeCell ref="K1520:O1520"/>
    <mergeCell ref="A3:O3"/>
    <mergeCell ref="C11:H12"/>
    <mergeCell ref="A4:O4"/>
    <mergeCell ref="A5:O5"/>
    <mergeCell ref="A6:O6"/>
    <mergeCell ref="C260:O261"/>
    <mergeCell ref="D1249:H1249"/>
    <mergeCell ref="K1253:O1253"/>
    <mergeCell ref="C1328:O1329"/>
    <mergeCell ref="K22:O23"/>
    <mergeCell ref="D270:G270"/>
    <mergeCell ref="D91:G91"/>
    <mergeCell ref="K95:O95"/>
    <mergeCell ref="C170:O171"/>
    <mergeCell ref="D181:G181"/>
    <mergeCell ref="K185:O185"/>
    <mergeCell ref="K274:O274"/>
    <mergeCell ref="C349:O350"/>
    <mergeCell ref="D359:G359"/>
    <mergeCell ref="K363:O363"/>
    <mergeCell ref="C438:O439"/>
    <mergeCell ref="D448:H448"/>
    <mergeCell ref="K452:O452"/>
    <mergeCell ref="C527:O528"/>
    <mergeCell ref="D537:H537"/>
    <mergeCell ref="K541:O541"/>
    <mergeCell ref="K897:O897"/>
    <mergeCell ref="C616:O617"/>
    <mergeCell ref="D626:H626"/>
    <mergeCell ref="K630:O630"/>
    <mergeCell ref="C705:O706"/>
    <mergeCell ref="D715:H715"/>
    <mergeCell ref="K719:O719"/>
    <mergeCell ref="C794:O795"/>
    <mergeCell ref="D804:H804"/>
    <mergeCell ref="K808:O808"/>
    <mergeCell ref="C883:O884"/>
    <mergeCell ref="D893:H893"/>
    <mergeCell ref="D1338:H1338"/>
    <mergeCell ref="K1342:O1342"/>
    <mergeCell ref="C1417:O1418"/>
    <mergeCell ref="C972:O973"/>
    <mergeCell ref="D1160:H1160"/>
    <mergeCell ref="K1164:O1164"/>
    <mergeCell ref="C1239:O1240"/>
    <mergeCell ref="D982:H982"/>
    <mergeCell ref="K986:O986"/>
    <mergeCell ref="C1061:O1062"/>
    <mergeCell ref="D1071:H1071"/>
    <mergeCell ref="K1075:O1075"/>
    <mergeCell ref="C1150:O1151"/>
  </mergeCells>
  <phoneticPr fontId="0" type="noConversion"/>
  <conditionalFormatting sqref="C102:C161">
    <cfRule type="cellIs" dxfId="30" priority="99" stopIfTrue="1" operator="equal">
      <formula>$I$93</formula>
    </cfRule>
  </conditionalFormatting>
  <conditionalFormatting sqref="C192:C251">
    <cfRule type="cellIs" dxfId="29" priority="18" stopIfTrue="1" operator="equal">
      <formula>$I$93</formula>
    </cfRule>
  </conditionalFormatting>
  <conditionalFormatting sqref="C281:C340">
    <cfRule type="cellIs" dxfId="28" priority="17" stopIfTrue="1" operator="equal">
      <formula>$I$93</formula>
    </cfRule>
  </conditionalFormatting>
  <conditionalFormatting sqref="C370:C429">
    <cfRule type="cellIs" dxfId="27" priority="16" stopIfTrue="1" operator="equal">
      <formula>$I$93</formula>
    </cfRule>
  </conditionalFormatting>
  <conditionalFormatting sqref="C459:C518">
    <cfRule type="cellIs" dxfId="26" priority="15" stopIfTrue="1" operator="equal">
      <formula>$I$93</formula>
    </cfRule>
  </conditionalFormatting>
  <conditionalFormatting sqref="C548:C607">
    <cfRule type="cellIs" dxfId="25" priority="14" stopIfTrue="1" operator="equal">
      <formula>$I$93</formula>
    </cfRule>
  </conditionalFormatting>
  <conditionalFormatting sqref="C637:C696">
    <cfRule type="cellIs" dxfId="24" priority="13" stopIfTrue="1" operator="equal">
      <formula>$I$93</formula>
    </cfRule>
  </conditionalFormatting>
  <conditionalFormatting sqref="C726:C785">
    <cfRule type="cellIs" dxfId="23" priority="12" stopIfTrue="1" operator="equal">
      <formula>$I$93</formula>
    </cfRule>
  </conditionalFormatting>
  <conditionalFormatting sqref="C815:C874">
    <cfRule type="cellIs" dxfId="22" priority="11" stopIfTrue="1" operator="equal">
      <formula>$I$93</formula>
    </cfRule>
  </conditionalFormatting>
  <conditionalFormatting sqref="C904:C963">
    <cfRule type="cellIs" dxfId="21" priority="10" stopIfTrue="1" operator="equal">
      <formula>$I$93</formula>
    </cfRule>
  </conditionalFormatting>
  <conditionalFormatting sqref="C993:C1052">
    <cfRule type="cellIs" dxfId="20" priority="9" stopIfTrue="1" operator="equal">
      <formula>$I$93</formula>
    </cfRule>
  </conditionalFormatting>
  <conditionalFormatting sqref="C1082:C1141">
    <cfRule type="cellIs" dxfId="19" priority="8" stopIfTrue="1" operator="equal">
      <formula>$I$93</formula>
    </cfRule>
  </conditionalFormatting>
  <conditionalFormatting sqref="C1171:C1230">
    <cfRule type="cellIs" dxfId="18" priority="7" stopIfTrue="1" operator="equal">
      <formula>$I$93</formula>
    </cfRule>
  </conditionalFormatting>
  <conditionalFormatting sqref="C1260:C1319">
    <cfRule type="cellIs" dxfId="17" priority="6" stopIfTrue="1" operator="equal">
      <formula>$I$93</formula>
    </cfRule>
  </conditionalFormatting>
  <conditionalFormatting sqref="C1349:C1408">
    <cfRule type="cellIs" dxfId="16" priority="5" stopIfTrue="1" operator="equal">
      <formula>$I$93</formula>
    </cfRule>
  </conditionalFormatting>
  <conditionalFormatting sqref="C1438:C1497">
    <cfRule type="cellIs" dxfId="15" priority="3" stopIfTrue="1" operator="equal">
      <formula>$I$93</formula>
    </cfRule>
  </conditionalFormatting>
  <conditionalFormatting sqref="C1527:C1586">
    <cfRule type="cellIs" dxfId="14" priority="1" stopIfTrue="1" operator="equal">
      <formula>$I$93</formula>
    </cfRule>
  </conditionalFormatting>
  <pageMargins left="0.26" right="1.28" top="1" bottom="0.5" header="0.75" footer="0.5"/>
  <pageSetup scale="38" fitToHeight="2" orientation="landscape" r:id="rId1"/>
  <headerFooter alignWithMargins="0">
    <oddHeader>&amp;R&amp;"Arial,Bold"Formula Rate 
&amp;A
Page &amp;P of &amp;N</oddHeader>
  </headerFooter>
  <rowBreaks count="17" manualBreakCount="17">
    <brk id="82" max="16383" man="1"/>
    <brk id="172" max="16383" man="1"/>
    <brk id="261" max="16383" man="1"/>
    <brk id="350" max="16383" man="1"/>
    <brk id="439" max="16383" man="1"/>
    <brk id="528" max="16383" man="1"/>
    <brk id="617" max="16383" man="1"/>
    <brk id="706" max="16383" man="1"/>
    <brk id="795" max="16383" man="1"/>
    <brk id="884" max="16383" man="1"/>
    <brk id="973" max="16383" man="1"/>
    <brk id="1062" max="16383" man="1"/>
    <brk id="1151" max="16383" man="1"/>
    <brk id="1240" max="16383" man="1"/>
    <brk id="1329" max="16383" man="1"/>
    <brk id="1418" max="16383" man="1"/>
    <brk id="150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Q168"/>
  <sheetViews>
    <sheetView view="pageBreakPreview" zoomScale="85" zoomScaleNormal="100" zoomScaleSheetLayoutView="85" workbookViewId="0"/>
  </sheetViews>
  <sheetFormatPr defaultColWidth="8.85546875" defaultRowHeight="12.75" customHeight="1"/>
  <cols>
    <col min="1" max="1" width="4.7109375" customWidth="1"/>
    <col min="2" max="2" width="6.7109375" customWidth="1"/>
    <col min="3" max="3" width="32.28515625" customWidth="1"/>
    <col min="4" max="9" width="17.7109375" customWidth="1"/>
    <col min="10" max="10" width="17.7109375" bestFit="1" customWidth="1"/>
    <col min="11" max="11" width="2.140625" customWidth="1"/>
    <col min="12" max="12" width="17.7109375" customWidth="1"/>
    <col min="13" max="13" width="31.85546875" customWidth="1"/>
    <col min="14" max="15" width="17.7109375" customWidth="1"/>
    <col min="16" max="16" width="16.7109375" customWidth="1"/>
    <col min="17" max="17" width="2.140625" customWidth="1"/>
  </cols>
  <sheetData>
    <row r="1" spans="1:17" ht="15.75">
      <c r="A1" s="581" t="s">
        <v>624</v>
      </c>
      <c r="D1" s="1"/>
      <c r="I1" s="351"/>
      <c r="L1" s="4"/>
      <c r="M1" s="4"/>
      <c r="N1" s="4"/>
      <c r="O1" s="4"/>
      <c r="P1" s="4"/>
      <c r="Q1" s="4"/>
    </row>
    <row r="2" spans="1:17" ht="15.75">
      <c r="A2" s="581" t="s">
        <v>625</v>
      </c>
      <c r="D2" s="1"/>
      <c r="I2" s="351"/>
      <c r="L2" s="4"/>
      <c r="M2" s="4"/>
      <c r="N2" s="4"/>
      <c r="O2" s="4"/>
      <c r="P2" s="4"/>
      <c r="Q2" s="4"/>
    </row>
    <row r="3" spans="1:17" ht="15">
      <c r="A3" s="1235" t="s">
        <v>387</v>
      </c>
      <c r="B3" s="1235"/>
      <c r="C3" s="1235"/>
      <c r="D3" s="1235"/>
      <c r="E3" s="1235"/>
      <c r="F3" s="1235"/>
      <c r="G3" s="1235"/>
      <c r="H3" s="1235"/>
      <c r="I3" s="1235"/>
      <c r="J3" s="1235"/>
      <c r="K3" s="1235"/>
      <c r="L3" s="1235"/>
      <c r="M3" s="1235"/>
      <c r="N3" s="1235"/>
      <c r="O3" s="1235"/>
      <c r="P3" s="1235"/>
      <c r="Q3" s="4"/>
    </row>
    <row r="4" spans="1:17" ht="15">
      <c r="A4" s="1236" t="str">
        <f>"Cost of Service Formula Rate Using "&amp;TCOS!L4&amp;" FF1 Balances"</f>
        <v>Cost of Service Formula Rate Using 2026 FF1 Balances</v>
      </c>
      <c r="B4" s="1236"/>
      <c r="C4" s="1236"/>
      <c r="D4" s="1236"/>
      <c r="E4" s="1236"/>
      <c r="F4" s="1236"/>
      <c r="G4" s="1236"/>
      <c r="H4" s="1236"/>
      <c r="I4" s="1236"/>
      <c r="J4" s="1236"/>
      <c r="K4" s="1236"/>
      <c r="L4" s="1236"/>
      <c r="M4" s="1236"/>
      <c r="N4" s="1236"/>
      <c r="O4" s="1236"/>
      <c r="P4" s="1236"/>
      <c r="Q4" s="4"/>
    </row>
    <row r="5" spans="1:17" ht="15">
      <c r="A5" s="1236" t="s">
        <v>469</v>
      </c>
      <c r="B5" s="1236"/>
      <c r="C5" s="1236"/>
      <c r="D5" s="1236"/>
      <c r="E5" s="1236"/>
      <c r="F5" s="1236"/>
      <c r="G5" s="1236"/>
      <c r="H5" s="1236"/>
      <c r="I5" s="1236"/>
      <c r="J5" s="1236"/>
      <c r="K5" s="1236"/>
      <c r="L5" s="1236"/>
      <c r="M5" s="1236"/>
      <c r="N5" s="1236"/>
      <c r="O5" s="1236"/>
      <c r="P5" s="1236"/>
      <c r="Q5" s="4"/>
    </row>
    <row r="6" spans="1:17" ht="15">
      <c r="A6" s="1247" t="str">
        <f>TCOS!F9</f>
        <v>Appalachian Power Company</v>
      </c>
      <c r="B6" s="1247"/>
      <c r="C6" s="1247"/>
      <c r="D6" s="1247"/>
      <c r="E6" s="1247"/>
      <c r="F6" s="1247"/>
      <c r="G6" s="1247"/>
      <c r="H6" s="1247"/>
      <c r="I6" s="1247"/>
      <c r="J6" s="1247"/>
      <c r="K6" s="1247"/>
      <c r="L6" s="1247"/>
      <c r="M6" s="1247"/>
      <c r="N6" s="1247"/>
      <c r="O6" s="1247"/>
      <c r="P6" s="1247"/>
      <c r="Q6" s="4"/>
    </row>
    <row r="7" spans="1:17">
      <c r="D7" s="1"/>
      <c r="I7" s="351"/>
      <c r="L7" s="4"/>
      <c r="M7" s="4"/>
      <c r="N7" s="4"/>
      <c r="O7" s="4"/>
      <c r="P7" s="4"/>
      <c r="Q7" s="4"/>
    </row>
    <row r="8" spans="1:17" ht="20.25">
      <c r="A8" s="352"/>
      <c r="D8" s="1"/>
      <c r="I8" s="351"/>
      <c r="L8" s="4"/>
      <c r="M8" s="4"/>
      <c r="N8" s="4"/>
      <c r="O8" s="353" t="str">
        <f>"Page "&amp;Q8&amp;" of "</f>
        <v xml:space="preserve">Page 1 of </v>
      </c>
      <c r="P8" s="354">
        <f>COUNT(Q$8:Q$58122)</f>
        <v>2</v>
      </c>
      <c r="Q8" s="353">
        <v>1</v>
      </c>
    </row>
    <row r="9" spans="1:17" ht="18">
      <c r="C9" s="11"/>
      <c r="D9" s="1"/>
      <c r="I9" s="351"/>
      <c r="L9" s="4"/>
      <c r="M9" s="4"/>
      <c r="N9" s="4"/>
      <c r="O9" s="4"/>
      <c r="P9" s="4"/>
      <c r="Q9" s="4"/>
    </row>
    <row r="10" spans="1:17">
      <c r="D10" s="1"/>
      <c r="I10" s="351"/>
      <c r="L10" s="4"/>
      <c r="M10" s="4"/>
      <c r="N10" s="4"/>
      <c r="O10" s="4"/>
      <c r="P10" s="4"/>
      <c r="Q10" s="4"/>
    </row>
    <row r="11" spans="1:17" ht="18">
      <c r="B11" s="355" t="s">
        <v>171</v>
      </c>
      <c r="C11" s="1286" t="str">
        <f>"Calculate Return and Income Taxes with "&amp;F17&amp;" basis point ROE increase for Projects Qualified for Regional Billing."</f>
        <v>Calculate Return and Income Taxes with 0 basis point ROE increase for Projects Qualified for Regional Billing.</v>
      </c>
      <c r="D11" s="1287"/>
      <c r="E11" s="1287"/>
      <c r="F11" s="1287"/>
      <c r="G11" s="1287"/>
      <c r="H11" s="1287"/>
      <c r="I11" s="1287"/>
      <c r="L11" s="4"/>
      <c r="M11" s="4"/>
      <c r="N11" s="4"/>
      <c r="O11" s="4"/>
      <c r="P11" s="4"/>
      <c r="Q11" s="4"/>
    </row>
    <row r="12" spans="1:17" ht="18.75" customHeight="1">
      <c r="C12" s="1287"/>
      <c r="D12" s="1287"/>
      <c r="E12" s="1287"/>
      <c r="F12" s="1287"/>
      <c r="G12" s="1287"/>
      <c r="H12" s="1287"/>
      <c r="I12" s="1287"/>
      <c r="L12" s="4"/>
      <c r="M12" s="4"/>
      <c r="N12" s="4"/>
      <c r="O12" s="4"/>
      <c r="P12" s="4"/>
      <c r="Q12" s="4"/>
    </row>
    <row r="13" spans="1:17" ht="15.75" customHeight="1">
      <c r="C13" s="322"/>
      <c r="D13" s="322"/>
      <c r="E13" s="322"/>
      <c r="F13" s="322"/>
      <c r="G13" s="322"/>
      <c r="H13" s="322"/>
      <c r="I13" s="322"/>
      <c r="L13" s="4"/>
      <c r="M13" s="4"/>
      <c r="N13" s="4"/>
      <c r="O13" s="4"/>
      <c r="P13" s="4"/>
      <c r="Q13" s="4"/>
    </row>
    <row r="14" spans="1:17" ht="15.75">
      <c r="C14" s="356" t="str">
        <f>"A.   Determine 'R' with hypothetical "&amp;F17&amp;" basis point increase in ROE for Identified Projects"</f>
        <v>A.   Determine 'R' with hypothetical 0 basis point increase in ROE for Identified Projects</v>
      </c>
      <c r="D14" s="233"/>
      <c r="I14" s="351"/>
      <c r="L14" s="4"/>
      <c r="M14" s="4"/>
      <c r="N14" s="4"/>
      <c r="O14" s="4"/>
      <c r="P14" s="4"/>
      <c r="Q14" s="4"/>
    </row>
    <row r="15" spans="1:17">
      <c r="C15" s="155"/>
      <c r="D15" s="233"/>
      <c r="I15" s="351"/>
      <c r="L15" s="4"/>
      <c r="M15" s="4"/>
      <c r="N15" s="4"/>
      <c r="O15" s="4"/>
      <c r="P15" s="4"/>
      <c r="Q15" s="4"/>
    </row>
    <row r="16" spans="1:17">
      <c r="C16" s="357" t="str">
        <f>"   ROE w/o incentives  (TCOS, ln "&amp;TCOS!B273&amp;")"</f>
        <v xml:space="preserve">   ROE w/o incentives  (TCOS, ln 156)</v>
      </c>
      <c r="D16" s="233"/>
      <c r="E16" s="358"/>
      <c r="F16" s="469">
        <f>TCOS!J273</f>
        <v>0.10349999999999999</v>
      </c>
      <c r="G16" s="469"/>
      <c r="H16" s="358"/>
      <c r="I16" s="360"/>
      <c r="J16" s="360"/>
      <c r="K16" s="360"/>
      <c r="L16" s="360"/>
      <c r="M16" s="360"/>
      <c r="N16" s="360"/>
      <c r="O16" s="360"/>
      <c r="P16" s="360"/>
      <c r="Q16" s="360"/>
    </row>
    <row r="17" spans="3:17" ht="13.5" thickBot="1">
      <c r="C17" s="357" t="s">
        <v>252</v>
      </c>
      <c r="D17" s="233"/>
      <c r="E17" s="358"/>
      <c r="F17" s="557">
        <v>0</v>
      </c>
      <c r="G17" s="358"/>
      <c r="H17" s="358"/>
      <c r="I17" s="360"/>
      <c r="J17" s="360"/>
      <c r="K17" s="360"/>
      <c r="L17" s="360"/>
      <c r="M17" s="360"/>
      <c r="N17" s="360"/>
      <c r="O17" s="360"/>
      <c r="P17" s="360"/>
      <c r="Q17" s="360"/>
    </row>
    <row r="18" spans="3:17">
      <c r="C18" s="357" t="str">
        <f>"   ROE with additional "&amp;F17&amp;" basis point incentive"</f>
        <v xml:space="preserve">   ROE with additional 0 basis point incentive</v>
      </c>
      <c r="D18" s="358"/>
      <c r="E18" s="358"/>
      <c r="F18" s="361">
        <f>IF((F16+(F17/10000)&gt;0.125),"ERROR",F16+(F17/10000))</f>
        <v>0.10349999999999999</v>
      </c>
      <c r="G18" s="362"/>
      <c r="H18" s="358"/>
      <c r="I18" s="360"/>
      <c r="J18" s="360"/>
      <c r="K18" s="360"/>
      <c r="L18" s="470" t="s">
        <v>454</v>
      </c>
      <c r="M18" s="471"/>
      <c r="N18" s="471"/>
      <c r="O18" s="471"/>
      <c r="P18" s="472"/>
      <c r="Q18" s="360"/>
    </row>
    <row r="19" spans="3:17">
      <c r="C19" s="357" t="str">
        <f>"   Determine R  ( cost of long term debt, cost of preferred stock and equity percentage is from the TCOS, lns "&amp;TCOS!B271&amp;" through"&amp;TCOS!B273&amp;")"</f>
        <v xml:space="preserve">   Determine R  ( cost of long term debt, cost of preferred stock and equity percentage is from the TCOS, lns 154 through156)</v>
      </c>
      <c r="D19" s="233"/>
      <c r="E19" s="358"/>
      <c r="F19" s="363"/>
      <c r="G19" s="363"/>
      <c r="H19" s="358"/>
      <c r="I19" s="360"/>
      <c r="J19" s="360"/>
      <c r="K19" s="360"/>
      <c r="L19" s="473"/>
      <c r="M19" s="360"/>
      <c r="N19" s="360" t="s">
        <v>254</v>
      </c>
      <c r="O19" s="360" t="s">
        <v>255</v>
      </c>
      <c r="P19" s="474" t="s">
        <v>256</v>
      </c>
      <c r="Q19" s="360"/>
    </row>
    <row r="20" spans="3:17">
      <c r="C20" s="360"/>
      <c r="D20" s="364" t="s">
        <v>146</v>
      </c>
      <c r="E20" s="364" t="s">
        <v>145</v>
      </c>
      <c r="F20" s="365" t="s">
        <v>253</v>
      </c>
      <c r="G20" s="365"/>
      <c r="H20" s="358"/>
      <c r="I20" s="360"/>
      <c r="J20" s="360"/>
      <c r="K20" s="360"/>
      <c r="L20" s="473" t="s">
        <v>452</v>
      </c>
      <c r="M20" s="475">
        <f>+TCOS!L4</f>
        <v>2026</v>
      </c>
      <c r="N20" s="4"/>
      <c r="O20" s="4"/>
      <c r="P20" s="476"/>
      <c r="Q20" s="360"/>
    </row>
    <row r="21" spans="3:17">
      <c r="C21" s="366" t="s">
        <v>257</v>
      </c>
      <c r="D21" s="477">
        <f>TCOS!H271</f>
        <v>0.49463400713873773</v>
      </c>
      <c r="E21" s="367">
        <f>TCOS!J271</f>
        <v>4.7636169060665617E-2</v>
      </c>
      <c r="F21" s="368">
        <f>E21*D21</f>
        <v>2.3562469187215395E-2</v>
      </c>
      <c r="G21" s="368"/>
      <c r="H21" s="358"/>
      <c r="I21" s="360"/>
      <c r="J21" s="369"/>
      <c r="K21" s="369"/>
      <c r="L21" s="430"/>
      <c r="M21" s="478" t="s">
        <v>453</v>
      </c>
      <c r="N21" s="568" t="e">
        <f>M90+#REF!+#REF!+#REF!+#REF!+#REF!+#REF!+#REF!+#REF!</f>
        <v>#N/A</v>
      </c>
      <c r="O21" s="568" t="e">
        <f>N90+#REF!+#REF!+#REF!+#REF!+#REF!+#REF!+#REF!+#REF!</f>
        <v>#N/A</v>
      </c>
      <c r="P21" s="479" t="e">
        <f>+O21-N21</f>
        <v>#N/A</v>
      </c>
      <c r="Q21" s="369"/>
    </row>
    <row r="22" spans="3:17" ht="13.5" thickBot="1">
      <c r="C22" s="366" t="s">
        <v>258</v>
      </c>
      <c r="D22" s="477">
        <f>TCOS!H272</f>
        <v>0</v>
      </c>
      <c r="E22" s="367">
        <f>TCOS!J272</f>
        <v>0</v>
      </c>
      <c r="F22" s="368">
        <f>E22*D22</f>
        <v>0</v>
      </c>
      <c r="G22" s="368"/>
      <c r="H22" s="370"/>
      <c r="I22" s="370"/>
      <c r="J22" s="371"/>
      <c r="K22" s="371"/>
      <c r="L22" s="430"/>
      <c r="M22" s="478" t="s">
        <v>259</v>
      </c>
      <c r="N22" s="569" t="e">
        <f>M91+#REF!+#REF!+#REF!+#REF!+#REF!+#REF!+#REF!+#REF!</f>
        <v>#N/A</v>
      </c>
      <c r="O22" s="569" t="e">
        <f>N91+#REF!+#REF!+#REF!+#REF!+#REF!+#REF!+#REF!+#REF!</f>
        <v>#N/A</v>
      </c>
      <c r="P22" s="480" t="e">
        <f>+O22-N22</f>
        <v>#N/A</v>
      </c>
      <c r="Q22" s="371"/>
    </row>
    <row r="23" spans="3:17">
      <c r="C23" s="366" t="s">
        <v>244</v>
      </c>
      <c r="D23" s="477">
        <f>TCOS!H273</f>
        <v>0.50536599286126227</v>
      </c>
      <c r="E23" s="367">
        <f>+F18</f>
        <v>0.10349999999999999</v>
      </c>
      <c r="F23" s="372">
        <f>E23*D23</f>
        <v>5.2305380261140642E-2</v>
      </c>
      <c r="G23" s="372"/>
      <c r="H23" s="370"/>
      <c r="I23" s="370"/>
      <c r="J23" s="371"/>
      <c r="K23" s="371"/>
      <c r="L23" s="430"/>
      <c r="M23" s="478" t="str">
        <f>"True-up of ARR For "&amp;TCOS!L4&amp;""</f>
        <v>True-up of ARR For 2026</v>
      </c>
      <c r="N23" s="412" t="e">
        <f>+N22-N21</f>
        <v>#N/A</v>
      </c>
      <c r="O23" s="412" t="e">
        <f>+O22-O21</f>
        <v>#N/A</v>
      </c>
      <c r="P23" s="481" t="e">
        <f>+P22-P21</f>
        <v>#N/A</v>
      </c>
      <c r="Q23" s="371"/>
    </row>
    <row r="24" spans="3:17">
      <c r="C24" s="357"/>
      <c r="E24" s="373" t="s">
        <v>260</v>
      </c>
      <c r="F24" s="368">
        <f>SUM(F21:F23)</f>
        <v>7.5867849448356034E-2</v>
      </c>
      <c r="G24" s="368"/>
      <c r="H24" s="370"/>
      <c r="I24" s="370"/>
      <c r="J24" s="371"/>
      <c r="K24" s="371"/>
      <c r="L24" s="430"/>
      <c r="M24" s="4"/>
      <c r="N24" s="4"/>
      <c r="O24" s="4"/>
      <c r="P24" s="476"/>
      <c r="Q24" s="371"/>
    </row>
    <row r="25" spans="3:17" ht="13.5" thickBot="1">
      <c r="C25" s="155"/>
      <c r="D25" s="378"/>
      <c r="E25" s="378"/>
      <c r="F25" s="370"/>
      <c r="G25" s="370"/>
      <c r="H25" s="370"/>
      <c r="I25" s="370"/>
      <c r="J25" s="370"/>
      <c r="K25" s="370"/>
      <c r="L25" s="482"/>
      <c r="M25" s="483"/>
      <c r="N25" s="484"/>
      <c r="O25" s="484"/>
      <c r="P25" s="480"/>
      <c r="Q25" s="370"/>
    </row>
    <row r="26" spans="3:17" ht="15.75">
      <c r="C26" s="356" t="str">
        <f>"B.   Determine Return using 'R' with hypothetical "&amp;F17&amp;" basis point ROE increase for Identified Projects."</f>
        <v>B.   Determine Return using 'R' with hypothetical 0 basis point ROE increase for Identified Projects.</v>
      </c>
      <c r="D26" s="378"/>
      <c r="E26" s="378"/>
      <c r="F26" s="370"/>
      <c r="G26" s="370"/>
      <c r="H26" s="370"/>
      <c r="I26" s="358"/>
      <c r="J26" s="370"/>
      <c r="K26" s="370"/>
      <c r="L26" s="370"/>
      <c r="M26" s="370"/>
      <c r="N26" s="370"/>
      <c r="O26" s="370"/>
      <c r="P26" s="370"/>
      <c r="Q26" s="370"/>
    </row>
    <row r="27" spans="3:17">
      <c r="C27" s="360"/>
      <c r="D27" s="378"/>
      <c r="E27" s="378"/>
      <c r="F27" s="370"/>
      <c r="G27" s="370"/>
      <c r="H27" s="370"/>
      <c r="I27" s="370"/>
      <c r="J27" s="370"/>
      <c r="K27" s="370"/>
      <c r="L27" s="370"/>
      <c r="M27" s="370"/>
      <c r="N27" s="370"/>
      <c r="O27" s="370"/>
      <c r="P27" s="370"/>
      <c r="Q27" s="370"/>
    </row>
    <row r="28" spans="3:17">
      <c r="C28" s="385" t="str">
        <f>"   Rate Base  (TCOS, ln "&amp;TCOS!B131&amp;")"</f>
        <v xml:space="preserve">   Rate Base  (TCOS, ln 68)</v>
      </c>
      <c r="D28" s="358"/>
      <c r="E28" s="386">
        <f>TCOS!L131</f>
        <v>3699050474.1765723</v>
      </c>
      <c r="F28" s="393"/>
      <c r="G28" s="393"/>
      <c r="H28" s="370"/>
      <c r="I28" s="370"/>
      <c r="J28" s="370"/>
      <c r="K28" s="370"/>
      <c r="L28" s="370"/>
      <c r="M28" s="370"/>
      <c r="N28" s="370"/>
      <c r="O28" s="370"/>
      <c r="P28" s="393"/>
      <c r="Q28" s="370"/>
    </row>
    <row r="29" spans="3:17">
      <c r="C29" s="360" t="s">
        <v>474</v>
      </c>
      <c r="D29" s="388"/>
      <c r="E29" s="368">
        <f>F24</f>
        <v>7.5867849448356034E-2</v>
      </c>
      <c r="F29" s="370"/>
      <c r="G29" s="370"/>
      <c r="H29" s="370"/>
      <c r="I29" s="370"/>
      <c r="J29" s="370"/>
      <c r="K29" s="370"/>
      <c r="L29" s="370"/>
      <c r="M29" s="370"/>
      <c r="N29" s="370"/>
      <c r="O29" s="370"/>
      <c r="P29" s="370"/>
      <c r="Q29" s="370"/>
    </row>
    <row r="30" spans="3:17">
      <c r="C30" s="389" t="s">
        <v>262</v>
      </c>
      <c r="D30" s="389"/>
      <c r="E30" s="371">
        <f>E28*E29</f>
        <v>280639004.47669816</v>
      </c>
      <c r="F30" s="370"/>
      <c r="G30" s="370"/>
      <c r="H30" s="370"/>
      <c r="I30" s="370"/>
      <c r="J30" s="371"/>
      <c r="K30" s="371"/>
      <c r="L30" s="371"/>
      <c r="M30" s="371"/>
      <c r="N30" s="371"/>
      <c r="O30" s="371"/>
      <c r="P30" s="370"/>
      <c r="Q30" s="371"/>
    </row>
    <row r="31" spans="3:17">
      <c r="C31" s="389"/>
      <c r="D31" s="360"/>
      <c r="E31" s="360"/>
      <c r="F31" s="370"/>
      <c r="G31" s="370"/>
      <c r="H31" s="370"/>
      <c r="I31" s="370"/>
      <c r="J31" s="371"/>
      <c r="K31" s="371"/>
      <c r="L31" s="371"/>
      <c r="M31" s="371"/>
      <c r="N31" s="371"/>
      <c r="O31" s="371"/>
      <c r="P31" s="370"/>
      <c r="Q31" s="371"/>
    </row>
    <row r="32" spans="3:17" ht="15.75">
      <c r="C32" s="356" t="str">
        <f>"C.   Determine Income Taxes using Return with hypothetical "&amp;F17&amp;" basis point ROE increase for Identified Projects."</f>
        <v>C.   Determine Income Taxes using Return with hypothetical 0 basis point ROE increase for Identified Projects.</v>
      </c>
      <c r="D32" s="390"/>
      <c r="E32" s="390"/>
      <c r="F32" s="391"/>
      <c r="G32" s="391"/>
      <c r="H32" s="391"/>
      <c r="I32" s="391"/>
      <c r="J32" s="392"/>
      <c r="K32" s="392"/>
      <c r="L32" s="392"/>
      <c r="M32" s="392"/>
      <c r="N32" s="392"/>
      <c r="O32" s="392"/>
      <c r="P32" s="391"/>
      <c r="Q32" s="392"/>
    </row>
    <row r="33" spans="2:17">
      <c r="C33" s="357"/>
      <c r="D33" s="360"/>
      <c r="E33" s="360"/>
      <c r="F33" s="370"/>
      <c r="G33" s="370"/>
      <c r="H33" s="370"/>
      <c r="I33" s="370"/>
      <c r="J33" s="371"/>
      <c r="K33" s="371"/>
      <c r="L33" s="371"/>
      <c r="M33" s="371"/>
      <c r="N33" s="371"/>
      <c r="O33" s="371"/>
      <c r="P33" s="370"/>
      <c r="Q33" s="371"/>
    </row>
    <row r="34" spans="2:17">
      <c r="C34" s="360" t="s">
        <v>263</v>
      </c>
      <c r="D34" s="373"/>
      <c r="E34" s="393">
        <f>E30</f>
        <v>280639004.47669816</v>
      </c>
      <c r="F34" s="370"/>
      <c r="G34" s="370"/>
      <c r="H34" s="370"/>
      <c r="I34" s="370"/>
      <c r="J34" s="370"/>
      <c r="K34" s="370"/>
      <c r="L34" s="370"/>
      <c r="M34" s="370"/>
      <c r="N34" s="370"/>
      <c r="O34" s="370"/>
      <c r="P34" s="370"/>
      <c r="Q34" s="370"/>
    </row>
    <row r="35" spans="2:17">
      <c r="C35" s="385" t="str">
        <f>"   Effective Tax Rate  (TCOS, ln "&amp;TCOS!B198&amp;")"</f>
        <v xml:space="preserve">   Effective Tax Rate  (TCOS, ln 114)</v>
      </c>
      <c r="D35" s="67"/>
      <c r="E35" s="394">
        <f>TCOS!G198</f>
        <v>0.20893350266638444</v>
      </c>
      <c r="F35" s="4"/>
      <c r="G35" s="4"/>
      <c r="H35" s="4"/>
      <c r="I35" s="395"/>
      <c r="J35" s="4"/>
      <c r="K35" s="4"/>
      <c r="L35" s="4"/>
      <c r="M35" s="4"/>
      <c r="N35" s="4"/>
      <c r="O35" s="4"/>
      <c r="P35" s="4"/>
      <c r="Q35" s="4"/>
    </row>
    <row r="36" spans="2:17">
      <c r="C36" s="389" t="s">
        <v>264</v>
      </c>
      <c r="D36" s="67"/>
      <c r="E36" s="396">
        <f>E34*E35</f>
        <v>58634890.190123692</v>
      </c>
      <c r="F36" s="4"/>
      <c r="G36" s="4"/>
      <c r="H36" s="4"/>
      <c r="I36" s="395"/>
      <c r="J36" s="4"/>
      <c r="K36" s="4"/>
      <c r="L36" s="4"/>
      <c r="M36" s="4"/>
      <c r="N36" s="4"/>
      <c r="O36" s="4"/>
      <c r="P36" s="4"/>
      <c r="Q36" s="4"/>
    </row>
    <row r="37" spans="2:17" ht="15">
      <c r="C37" s="357" t="s">
        <v>302</v>
      </c>
      <c r="D37" s="204"/>
      <c r="E37" s="370">
        <f>TCOS!L207</f>
        <v>0</v>
      </c>
      <c r="F37" s="204"/>
      <c r="G37" s="204"/>
      <c r="H37" s="204"/>
      <c r="I37" s="204"/>
      <c r="J37" s="204"/>
      <c r="K37" s="204"/>
      <c r="L37" s="204"/>
      <c r="M37" s="204"/>
      <c r="N37" s="204"/>
      <c r="O37" s="204"/>
      <c r="P37" s="218"/>
      <c r="Q37" s="204"/>
    </row>
    <row r="38" spans="2:17" ht="15">
      <c r="C38" s="357" t="s">
        <v>532</v>
      </c>
      <c r="D38" s="204"/>
      <c r="E38" s="370">
        <f>TCOS!L208</f>
        <v>-6350033.8058547713</v>
      </c>
      <c r="F38" s="204"/>
      <c r="G38" s="204"/>
      <c r="H38" s="204"/>
      <c r="I38" s="204"/>
      <c r="J38" s="204"/>
      <c r="K38" s="204"/>
      <c r="L38" s="204"/>
      <c r="M38" s="204"/>
      <c r="N38" s="204"/>
      <c r="O38" s="204"/>
      <c r="P38" s="218"/>
      <c r="Q38" s="204"/>
    </row>
    <row r="39" spans="2:17" ht="15">
      <c r="C39" s="357" t="s">
        <v>533</v>
      </c>
      <c r="D39" s="204"/>
      <c r="E39" s="397">
        <f>TCOS!L209</f>
        <v>3428531.6655523279</v>
      </c>
      <c r="F39" s="204"/>
      <c r="G39" s="204"/>
      <c r="H39" s="204"/>
      <c r="I39" s="204"/>
      <c r="J39" s="204"/>
      <c r="K39" s="204"/>
      <c r="L39" s="204"/>
      <c r="M39" s="204"/>
      <c r="N39" s="204"/>
      <c r="O39" s="204"/>
      <c r="P39" s="218"/>
      <c r="Q39" s="204"/>
    </row>
    <row r="40" spans="2:17" ht="15">
      <c r="C40" s="389" t="s">
        <v>265</v>
      </c>
      <c r="D40" s="204"/>
      <c r="E40" s="370">
        <f>E36+E37+E38+E39</f>
        <v>55713388.04982125</v>
      </c>
      <c r="F40" s="204"/>
      <c r="G40" s="204"/>
      <c r="H40" s="204"/>
      <c r="I40" s="204"/>
      <c r="J40" s="204"/>
      <c r="K40" s="204"/>
      <c r="L40" s="204"/>
      <c r="M40" s="204"/>
      <c r="N40" s="204"/>
      <c r="O40" s="204"/>
      <c r="P40" s="217"/>
      <c r="Q40" s="204"/>
    </row>
    <row r="41" spans="2:17" ht="12.75" customHeight="1">
      <c r="C41" s="203"/>
      <c r="D41" s="204"/>
      <c r="E41" s="204"/>
      <c r="F41" s="204"/>
      <c r="G41" s="204"/>
      <c r="H41" s="204"/>
      <c r="I41" s="204"/>
      <c r="J41" s="204"/>
      <c r="K41" s="204"/>
      <c r="L41" s="204"/>
      <c r="M41" s="204"/>
      <c r="N41" s="204"/>
      <c r="O41" s="204"/>
      <c r="P41" s="217"/>
      <c r="Q41" s="204"/>
    </row>
    <row r="42" spans="2:17" ht="18.75">
      <c r="B42" s="355" t="s">
        <v>172</v>
      </c>
      <c r="C42" s="11" t="str">
        <f>"Calculate Net Plant Carrying Charge Rate (Fixed Charge Rate or FCR) with hypothetical "&amp;F17&amp;""</f>
        <v>Calculate Net Plant Carrying Charge Rate (Fixed Charge Rate or FCR) with hypothetical 0</v>
      </c>
      <c r="D42" s="204"/>
      <c r="E42" s="204"/>
      <c r="F42" s="204"/>
      <c r="G42" s="204"/>
      <c r="H42" s="204"/>
      <c r="I42" s="204"/>
      <c r="J42" s="204"/>
      <c r="K42" s="204"/>
      <c r="L42" s="204"/>
      <c r="M42" s="204"/>
      <c r="N42" s="204"/>
      <c r="O42" s="204"/>
      <c r="P42" s="217"/>
      <c r="Q42" s="204"/>
    </row>
    <row r="43" spans="2:17" ht="18.75" customHeight="1">
      <c r="C43" s="11" t="str">
        <f>"basis point ROE increase."</f>
        <v>basis point ROE increase.</v>
      </c>
      <c r="D43" s="204"/>
      <c r="E43" s="204"/>
      <c r="F43" s="204"/>
      <c r="G43" s="204"/>
      <c r="H43" s="204"/>
      <c r="I43" s="204"/>
      <c r="J43" s="204"/>
      <c r="K43" s="204"/>
      <c r="L43" s="204"/>
      <c r="M43" s="204"/>
      <c r="N43" s="204"/>
      <c r="O43" s="204"/>
      <c r="P43" s="217"/>
      <c r="Q43" s="204"/>
    </row>
    <row r="44" spans="2:17" ht="12.75" customHeight="1">
      <c r="C44" s="11"/>
      <c r="D44" s="204"/>
      <c r="E44" s="204"/>
      <c r="F44" s="204"/>
      <c r="G44" s="204"/>
      <c r="H44" s="204"/>
      <c r="I44" s="204"/>
      <c r="J44" s="204"/>
      <c r="K44" s="204"/>
      <c r="L44" s="204"/>
      <c r="M44" s="204"/>
      <c r="N44" s="204"/>
      <c r="O44" s="204"/>
      <c r="P44" s="217"/>
      <c r="Q44" s="204"/>
    </row>
    <row r="45" spans="2:17" ht="15.75">
      <c r="C45" s="356" t="s">
        <v>465</v>
      </c>
      <c r="D45" s="204"/>
      <c r="E45" s="204"/>
      <c r="F45" s="203"/>
      <c r="G45" s="203"/>
      <c r="H45" s="204"/>
      <c r="I45" s="204"/>
      <c r="J45" s="204"/>
      <c r="K45" s="204"/>
      <c r="L45" s="204"/>
      <c r="M45" s="204"/>
      <c r="N45" s="204"/>
      <c r="O45" s="204"/>
      <c r="P45" s="217"/>
      <c r="Q45" s="204"/>
    </row>
    <row r="46" spans="2:17">
      <c r="B46" s="4"/>
      <c r="C46" s="357"/>
      <c r="D46" s="358"/>
      <c r="E46" s="358"/>
      <c r="F46" s="358"/>
      <c r="G46" s="358"/>
      <c r="H46" s="358"/>
      <c r="I46" s="358"/>
      <c r="J46" s="358"/>
      <c r="K46" s="358"/>
      <c r="L46" s="358"/>
      <c r="M46" s="358"/>
      <c r="N46" s="358"/>
      <c r="O46" s="358"/>
      <c r="P46" s="370"/>
      <c r="Q46" s="358"/>
    </row>
    <row r="47" spans="2:17" ht="12.75" customHeight="1">
      <c r="B47" s="4"/>
      <c r="C47" s="385" t="str">
        <f>"   Annual Revenue Requirement  (TCOS, ln "&amp;TCOS!B13&amp;")"</f>
        <v xml:space="preserve">   Annual Revenue Requirement  (TCOS, ln 1)</v>
      </c>
      <c r="D47" s="358"/>
      <c r="E47" s="358"/>
      <c r="F47" s="370">
        <f>TCOS!L13</f>
        <v>609212609.686764</v>
      </c>
      <c r="G47" s="370"/>
      <c r="H47" s="485" t="s">
        <v>114</v>
      </c>
      <c r="I47" s="358"/>
      <c r="J47" s="358"/>
      <c r="K47" s="358"/>
      <c r="L47" s="358"/>
      <c r="M47" s="358"/>
      <c r="N47" s="358"/>
      <c r="O47" s="358"/>
      <c r="P47" s="370"/>
      <c r="Q47" s="358"/>
    </row>
    <row r="48" spans="2:17" ht="12.75" customHeight="1">
      <c r="B48" s="4"/>
      <c r="C48" s="385" t="str">
        <f>"   Lease Payments (TCOS, Ln "&amp;TCOS!B175&amp;")"</f>
        <v xml:space="preserve">   Lease Payments (TCOS, Ln 95)</v>
      </c>
      <c r="D48" s="358"/>
      <c r="E48" s="358"/>
      <c r="F48" s="370">
        <f>TCOS!L175</f>
        <v>0</v>
      </c>
      <c r="G48" s="370"/>
      <c r="H48" s="485"/>
      <c r="I48" s="358"/>
      <c r="J48" s="358"/>
      <c r="K48" s="358"/>
      <c r="L48" s="358"/>
      <c r="M48" s="358"/>
      <c r="N48" s="358"/>
      <c r="O48" s="358"/>
      <c r="P48" s="370"/>
      <c r="Q48" s="358"/>
    </row>
    <row r="49" spans="2:17">
      <c r="B49" s="4"/>
      <c r="C49" s="385" t="str">
        <f>"   Return  (TCOS, ln "&amp;TCOS!B213&amp;")"</f>
        <v xml:space="preserve">   Return  (TCOS, ln 126)</v>
      </c>
      <c r="D49" s="358"/>
      <c r="E49" s="358"/>
      <c r="F49" s="371">
        <f>TCOS!L213</f>
        <v>280639004.47669816</v>
      </c>
      <c r="G49" s="371"/>
      <c r="H49" s="357"/>
      <c r="I49" s="357"/>
      <c r="J49" s="357"/>
      <c r="K49" s="357"/>
      <c r="L49" s="357"/>
      <c r="M49" s="357"/>
      <c r="N49" s="357"/>
      <c r="O49" s="357"/>
      <c r="P49" s="370"/>
      <c r="Q49" s="357"/>
    </row>
    <row r="50" spans="2:17">
      <c r="B50" s="4"/>
      <c r="C50" s="385" t="str">
        <f>"   Income Taxes  (TCOS, ln "&amp;TCOS!B211&amp;")"</f>
        <v xml:space="preserve">   Income Taxes  (TCOS, ln 125)</v>
      </c>
      <c r="D50" s="358"/>
      <c r="E50" s="358"/>
      <c r="F50" s="398">
        <f>TCOS!L211</f>
        <v>55713388.04982125</v>
      </c>
      <c r="G50" s="398"/>
      <c r="H50" s="358"/>
      <c r="I50" s="358"/>
      <c r="J50" s="399"/>
      <c r="K50" s="399"/>
      <c r="L50" s="399"/>
      <c r="M50" s="399"/>
      <c r="N50" s="399"/>
      <c r="O50" s="399"/>
      <c r="P50" s="358"/>
      <c r="Q50" s="399"/>
    </row>
    <row r="51" spans="2:17">
      <c r="B51" s="4"/>
      <c r="C51" s="1220" t="s">
        <v>590</v>
      </c>
      <c r="D51" s="1287"/>
      <c r="E51" s="358"/>
      <c r="F51" s="371">
        <f>F47-F49-F50-F48</f>
        <v>272860217.16024458</v>
      </c>
      <c r="G51" s="371"/>
      <c r="H51" s="400"/>
      <c r="I51" s="358"/>
      <c r="J51" s="400"/>
      <c r="K51" s="400"/>
      <c r="L51" s="400"/>
      <c r="M51" s="400"/>
      <c r="N51" s="400"/>
      <c r="O51" s="400"/>
      <c r="P51" s="400"/>
      <c r="Q51" s="400"/>
    </row>
    <row r="52" spans="2:17">
      <c r="B52" s="4"/>
      <c r="C52" s="1287"/>
      <c r="D52" s="1287"/>
      <c r="E52" s="358"/>
      <c r="F52" s="370"/>
      <c r="G52" s="370"/>
      <c r="H52" s="401"/>
      <c r="I52" s="402"/>
      <c r="J52" s="402"/>
      <c r="K52" s="402"/>
      <c r="L52" s="402"/>
      <c r="M52" s="402"/>
      <c r="N52" s="402"/>
      <c r="O52" s="402"/>
      <c r="P52" s="402"/>
      <c r="Q52" s="402"/>
    </row>
    <row r="53" spans="2:17" ht="15.75">
      <c r="B53" s="4"/>
      <c r="C53" s="356" t="str">
        <f>"B.   Determine Annual Revenue Requirement with hypothetical "&amp;F17&amp;" basis point increase in ROE."</f>
        <v>B.   Determine Annual Revenue Requirement with hypothetical 0 basis point increase in ROE.</v>
      </c>
      <c r="D53" s="360"/>
      <c r="E53" s="360"/>
      <c r="F53" s="370"/>
      <c r="G53" s="370"/>
      <c r="H53" s="401"/>
      <c r="I53" s="402"/>
      <c r="J53" s="402"/>
      <c r="K53" s="402"/>
      <c r="L53" s="402"/>
      <c r="M53" s="402"/>
      <c r="N53" s="402"/>
      <c r="O53" s="402"/>
      <c r="P53" s="402"/>
      <c r="Q53" s="402"/>
    </row>
    <row r="54" spans="2:17">
      <c r="B54" s="4"/>
      <c r="C54" s="357"/>
      <c r="D54" s="360"/>
      <c r="E54" s="360"/>
      <c r="F54" s="370"/>
      <c r="G54" s="370"/>
      <c r="H54" s="401"/>
      <c r="I54" s="402"/>
      <c r="J54" s="402"/>
      <c r="K54" s="402"/>
      <c r="L54" s="402"/>
      <c r="M54" s="402"/>
      <c r="N54" s="402"/>
      <c r="O54" s="402"/>
      <c r="P54" s="402"/>
      <c r="Q54" s="402"/>
    </row>
    <row r="55" spans="2:17">
      <c r="B55" s="4"/>
      <c r="C55" s="357" t="str">
        <f>C51</f>
        <v xml:space="preserve">   Annual Revenue Requirement, Less Lease Payments, Return and Taxes</v>
      </c>
      <c r="D55" s="360"/>
      <c r="E55" s="360"/>
      <c r="F55" s="370">
        <f>F51</f>
        <v>272860217.16024458</v>
      </c>
      <c r="G55" s="370"/>
      <c r="H55" s="358"/>
      <c r="I55" s="358"/>
      <c r="J55" s="358"/>
      <c r="K55" s="358"/>
      <c r="L55" s="358"/>
      <c r="M55" s="358"/>
      <c r="N55" s="358"/>
      <c r="O55" s="358"/>
      <c r="P55" s="403"/>
      <c r="Q55" s="358"/>
    </row>
    <row r="56" spans="2:17">
      <c r="B56" s="4"/>
      <c r="C56" s="360" t="s">
        <v>299</v>
      </c>
      <c r="D56" s="67"/>
      <c r="E56" s="4"/>
      <c r="F56" s="396">
        <f>E30</f>
        <v>280639004.47669816</v>
      </c>
      <c r="G56" s="396"/>
      <c r="H56" s="4"/>
      <c r="I56" s="404"/>
      <c r="J56" s="4"/>
      <c r="K56" s="4"/>
      <c r="L56" s="4"/>
      <c r="M56" s="4"/>
      <c r="N56" s="4"/>
      <c r="O56" s="4"/>
      <c r="P56" s="4"/>
      <c r="Q56" s="4"/>
    </row>
    <row r="57" spans="2:17" ht="12.75" customHeight="1">
      <c r="B57" s="4"/>
      <c r="C57" s="357" t="s">
        <v>266</v>
      </c>
      <c r="D57" s="358"/>
      <c r="E57" s="358"/>
      <c r="F57" s="398">
        <f>E40</f>
        <v>55713388.04982125</v>
      </c>
      <c r="G57" s="398"/>
      <c r="H57" s="4"/>
      <c r="I57" s="395"/>
      <c r="J57" s="4"/>
      <c r="K57" s="4"/>
      <c r="L57" s="4"/>
      <c r="M57" s="4"/>
      <c r="N57" s="4"/>
      <c r="O57" s="4"/>
      <c r="P57" s="4"/>
      <c r="Q57" s="4"/>
    </row>
    <row r="58" spans="2:17">
      <c r="B58" s="4"/>
      <c r="C58" s="4" t="str">
        <f>"   Annual Revenue Requirement, with "&amp;F17&amp;" Basis Point ROE increase"</f>
        <v xml:space="preserve">   Annual Revenue Requirement, with 0 Basis Point ROE increase</v>
      </c>
      <c r="D58" s="67"/>
      <c r="E58" s="4"/>
      <c r="F58" s="396">
        <f>SUM(F55:F57)</f>
        <v>609212609.686764</v>
      </c>
      <c r="G58" s="396"/>
      <c r="H58" s="4"/>
      <c r="I58" s="395"/>
      <c r="J58" s="4"/>
      <c r="K58" s="4"/>
      <c r="L58" s="4"/>
      <c r="M58" s="4"/>
      <c r="N58" s="4"/>
      <c r="O58" s="4"/>
      <c r="P58" s="4"/>
      <c r="Q58" s="4"/>
    </row>
    <row r="59" spans="2:17">
      <c r="B59" s="4"/>
      <c r="C59" s="385" t="str">
        <f>"   Depreciation  (TCOS, ln "&amp;TCOS!B181&amp;")"</f>
        <v xml:space="preserve">   Depreciation  (TCOS, ln 100)</v>
      </c>
      <c r="D59" s="67"/>
      <c r="E59" s="4"/>
      <c r="F59" s="405">
        <f>TCOS!L181</f>
        <v>135866543.5941073</v>
      </c>
      <c r="G59" s="405"/>
      <c r="H59" s="396"/>
      <c r="I59" s="395"/>
      <c r="J59" s="4"/>
      <c r="K59" s="4"/>
      <c r="L59" s="4"/>
      <c r="M59" s="4"/>
      <c r="N59" s="4"/>
      <c r="O59" s="4"/>
      <c r="P59" s="4"/>
      <c r="Q59" s="4"/>
    </row>
    <row r="60" spans="2:17">
      <c r="B60" s="4"/>
      <c r="C60" s="1220" t="str">
        <f>"   Annual Rev. Req, w/ "&amp;F17&amp;" Basis Point ROE increase, less Depreciation"</f>
        <v xml:space="preserve">   Annual Rev. Req, w/ 0 Basis Point ROE increase, less Depreciation</v>
      </c>
      <c r="D60" s="1287"/>
      <c r="E60" s="4"/>
      <c r="F60" s="396">
        <f>F58-F59</f>
        <v>473346066.09265673</v>
      </c>
      <c r="G60" s="396"/>
      <c r="H60" s="4"/>
      <c r="I60" s="395"/>
      <c r="J60" s="4"/>
      <c r="K60" s="4"/>
      <c r="L60" s="4"/>
      <c r="M60" s="4"/>
      <c r="N60" s="4"/>
      <c r="O60" s="4"/>
      <c r="P60" s="4"/>
      <c r="Q60" s="4"/>
    </row>
    <row r="61" spans="2:17">
      <c r="B61" s="4"/>
      <c r="C61" s="1287"/>
      <c r="D61" s="1287"/>
      <c r="E61" s="4"/>
      <c r="F61" s="4"/>
      <c r="G61" s="4"/>
      <c r="H61" s="4"/>
      <c r="I61" s="395"/>
      <c r="J61" s="4"/>
      <c r="K61" s="4"/>
      <c r="L61" s="4"/>
      <c r="M61" s="4"/>
      <c r="N61" s="4"/>
      <c r="O61" s="4"/>
      <c r="P61" s="4"/>
      <c r="Q61" s="4"/>
    </row>
    <row r="62" spans="2:17" ht="15.75">
      <c r="B62" s="4"/>
      <c r="C62" s="356" t="str">
        <f>"C.   Determine FCR with hypothetical "&amp;F17&amp;" basis point ROE increase."</f>
        <v>C.   Determine FCR with hypothetical 0 basis point ROE increase.</v>
      </c>
      <c r="D62" s="67"/>
      <c r="E62" s="4"/>
      <c r="F62" s="4"/>
      <c r="G62" s="4"/>
      <c r="H62" s="4"/>
      <c r="I62" s="395"/>
      <c r="J62" s="4"/>
      <c r="K62" s="4"/>
      <c r="L62" s="4"/>
      <c r="M62" s="4"/>
      <c r="N62" s="4"/>
      <c r="O62" s="4"/>
      <c r="P62" s="4"/>
      <c r="Q62" s="4"/>
    </row>
    <row r="63" spans="2:17">
      <c r="B63" s="4"/>
      <c r="C63" s="4"/>
      <c r="D63" s="67"/>
      <c r="E63" s="4"/>
      <c r="F63" s="4"/>
      <c r="G63" s="4"/>
      <c r="H63" s="4"/>
      <c r="I63" s="395"/>
      <c r="J63" s="4"/>
      <c r="K63" s="4"/>
      <c r="L63" s="4"/>
      <c r="M63" s="4"/>
      <c r="N63" s="4"/>
      <c r="O63" s="4"/>
      <c r="P63" s="4"/>
      <c r="Q63" s="4"/>
    </row>
    <row r="64" spans="2:17">
      <c r="B64" s="4"/>
      <c r="C64" s="385" t="str">
        <f>"   Net Transmission Plant  (TCOS, ln "&amp;TCOS!B95&amp;")"</f>
        <v xml:space="preserve">   Net Transmission Plant  (TCOS, ln 42)</v>
      </c>
      <c r="D64" s="67"/>
      <c r="E64" s="4"/>
      <c r="F64" s="396">
        <f>TCOS!L95</f>
        <v>4229847016.2497869</v>
      </c>
      <c r="G64" s="396"/>
      <c r="H64" s="396"/>
      <c r="I64" s="406"/>
      <c r="J64" s="4"/>
      <c r="K64" s="4"/>
      <c r="L64" s="4"/>
      <c r="M64" s="4"/>
      <c r="N64" s="4"/>
      <c r="O64" s="4"/>
      <c r="P64" s="4"/>
      <c r="Q64" s="4"/>
    </row>
    <row r="65" spans="2:17">
      <c r="B65" s="4"/>
      <c r="C65" s="4" t="str">
        <f>"   Annual Revenue Requirement, with "&amp;F17&amp;" Basis Point ROE increase"</f>
        <v xml:space="preserve">   Annual Revenue Requirement, with 0 Basis Point ROE increase</v>
      </c>
      <c r="D65" s="67"/>
      <c r="E65" s="4"/>
      <c r="F65" s="396">
        <f>F58</f>
        <v>609212609.686764</v>
      </c>
      <c r="G65" s="396"/>
      <c r="H65" s="4"/>
      <c r="I65" s="395"/>
      <c r="J65" s="4"/>
      <c r="K65" s="4"/>
      <c r="L65" s="4"/>
      <c r="M65" s="4"/>
      <c r="N65" s="4"/>
      <c r="O65" s="4"/>
      <c r="P65" s="4"/>
      <c r="Q65" s="4"/>
    </row>
    <row r="66" spans="2:17">
      <c r="B66" s="4"/>
      <c r="C66" s="4" t="str">
        <f>"   FCR with "&amp;F17&amp;" Basis Point increase in ROE"</f>
        <v xml:space="preserve">   FCR with 0 Basis Point increase in ROE</v>
      </c>
      <c r="D66" s="67"/>
      <c r="E66" s="4"/>
      <c r="F66" s="394">
        <f>F65/F64</f>
        <v>0.14402710248062264</v>
      </c>
      <c r="G66" s="394"/>
      <c r="H66" s="394"/>
      <c r="I66" s="395"/>
      <c r="J66" s="4"/>
      <c r="K66" s="4"/>
      <c r="L66" s="4"/>
      <c r="M66" s="4"/>
      <c r="N66" s="4"/>
      <c r="O66" s="4"/>
      <c r="P66" s="4"/>
      <c r="Q66" s="4"/>
    </row>
    <row r="67" spans="2:17">
      <c r="B67" s="4"/>
      <c r="C67" s="155"/>
      <c r="D67" s="67"/>
      <c r="E67" s="4"/>
      <c r="F67" s="4"/>
      <c r="G67" s="4"/>
      <c r="H67" s="4"/>
      <c r="I67" s="395"/>
      <c r="J67" s="4"/>
      <c r="K67" s="4"/>
      <c r="L67" s="4"/>
      <c r="M67" s="4"/>
      <c r="N67" s="4"/>
      <c r="O67" s="4"/>
      <c r="P67" s="4"/>
      <c r="Q67" s="4"/>
    </row>
    <row r="68" spans="2:17">
      <c r="B68" s="4"/>
      <c r="C68" s="4" t="str">
        <f>"   Annual Rev. Req, w / "&amp;F17&amp;" Basis Point ROE increase, less Dep."</f>
        <v xml:space="preserve">   Annual Rev. Req, w / 0 Basis Point ROE increase, less Dep.</v>
      </c>
      <c r="D68" s="67"/>
      <c r="E68" s="4"/>
      <c r="F68" s="396">
        <f>F60</f>
        <v>473346066.09265673</v>
      </c>
      <c r="G68" s="396"/>
      <c r="H68" s="4"/>
      <c r="I68" s="395"/>
      <c r="J68" s="4"/>
      <c r="K68" s="4"/>
      <c r="L68" s="4"/>
      <c r="M68" s="4"/>
      <c r="N68" s="4"/>
      <c r="O68" s="4"/>
      <c r="P68" s="4"/>
      <c r="Q68" s="4"/>
    </row>
    <row r="69" spans="2:17">
      <c r="B69" s="4"/>
      <c r="C69" s="4" t="str">
        <f>"   FCR with "&amp;F17&amp;" Basis Point ROE increase, less Depreciation"</f>
        <v xml:space="preserve">   FCR with 0 Basis Point ROE increase, less Depreciation</v>
      </c>
      <c r="D69" s="67"/>
      <c r="E69" s="4"/>
      <c r="F69" s="394">
        <f>F68/F64</f>
        <v>0.1119061905251431</v>
      </c>
      <c r="G69" s="394"/>
      <c r="H69" s="4"/>
      <c r="I69" s="395"/>
      <c r="J69" s="4"/>
      <c r="K69" s="4"/>
      <c r="L69" s="4"/>
      <c r="M69" s="4"/>
      <c r="N69" s="4"/>
      <c r="O69" s="4"/>
      <c r="P69" s="4"/>
      <c r="Q69" s="4"/>
    </row>
    <row r="70" spans="2:17">
      <c r="B70" s="4"/>
      <c r="C70" s="385" t="str">
        <f>"   FCR less Depreciation  (TCOS, ln "&amp;TCOS!B34&amp;")"</f>
        <v xml:space="preserve">   FCR less Depreciation  (TCOS, ln 10)</v>
      </c>
      <c r="D70" s="67"/>
      <c r="E70" s="4"/>
      <c r="F70" s="407">
        <f>TCOS!L34</f>
        <v>0.1119061905251431</v>
      </c>
      <c r="G70" s="407"/>
      <c r="H70" s="4"/>
      <c r="I70" s="395"/>
      <c r="J70" s="4"/>
      <c r="K70" s="4"/>
      <c r="L70" s="4"/>
      <c r="M70" s="4"/>
      <c r="N70" s="4"/>
      <c r="O70" s="4"/>
      <c r="P70" s="4"/>
      <c r="Q70" s="4"/>
    </row>
    <row r="71" spans="2:17">
      <c r="B71" s="4"/>
      <c r="C71" s="1220" t="str">
        <f>"   Incremental FCR with "&amp;F17&amp;" Basis Point ROE increase, less Depreciation"</f>
        <v xml:space="preserve">   Incremental FCR with 0 Basis Point ROE increase, less Depreciation</v>
      </c>
      <c r="D71" s="1287"/>
      <c r="E71" s="4"/>
      <c r="F71" s="394">
        <f>F69-F70</f>
        <v>0</v>
      </c>
      <c r="G71" s="394"/>
      <c r="H71" s="4"/>
      <c r="I71" s="395"/>
      <c r="J71" s="4"/>
      <c r="K71" s="4"/>
      <c r="L71" s="4"/>
      <c r="M71" s="4"/>
      <c r="N71" s="4"/>
      <c r="O71" s="4"/>
      <c r="P71" s="4"/>
      <c r="Q71" s="4"/>
    </row>
    <row r="72" spans="2:17">
      <c r="B72" s="4"/>
      <c r="C72" s="1287"/>
      <c r="D72" s="1287"/>
      <c r="E72" s="4"/>
      <c r="F72" s="394"/>
      <c r="G72" s="394"/>
      <c r="H72" s="4"/>
      <c r="I72" s="395"/>
      <c r="J72" s="4"/>
      <c r="K72" s="4"/>
      <c r="L72" s="4"/>
      <c r="M72" s="4"/>
      <c r="N72" s="4"/>
      <c r="O72" s="4"/>
      <c r="P72" s="4"/>
      <c r="Q72" s="4"/>
    </row>
    <row r="73" spans="2:17" ht="18.75">
      <c r="B73" s="355" t="s">
        <v>173</v>
      </c>
      <c r="C73" s="11" t="s">
        <v>267</v>
      </c>
      <c r="D73" s="67"/>
      <c r="E73" s="4"/>
      <c r="F73" s="394"/>
      <c r="G73" s="394"/>
      <c r="H73" s="4"/>
      <c r="I73" s="395"/>
      <c r="J73" s="4"/>
      <c r="K73" s="4"/>
      <c r="L73" s="4"/>
      <c r="M73" s="4"/>
      <c r="N73" s="4"/>
      <c r="O73" s="4"/>
      <c r="P73" s="4"/>
      <c r="Q73" s="4"/>
    </row>
    <row r="74" spans="2:17">
      <c r="B74" s="4"/>
      <c r="C74" s="4"/>
      <c r="D74" s="67"/>
      <c r="E74" s="4"/>
      <c r="F74" s="394"/>
      <c r="G74" s="394"/>
      <c r="H74" s="4"/>
      <c r="I74" s="395"/>
      <c r="J74" s="4"/>
      <c r="K74" s="4"/>
      <c r="L74" s="4"/>
      <c r="M74" s="4"/>
      <c r="N74" s="4"/>
      <c r="O74" s="4"/>
      <c r="P74" s="4"/>
      <c r="Q74" s="4"/>
    </row>
    <row r="75" spans="2:17">
      <c r="B75" s="4"/>
      <c r="C75" s="4" t="str">
        <f>+"Average Transmission Plant Balance for "&amp;TCOS!L4&amp;" (TCOS, ln "&amp;TCOS!B68&amp;")"</f>
        <v>Average Transmission Plant Balance for 2026 (TCOS, ln 21)</v>
      </c>
      <c r="D75" s="67"/>
      <c r="H75" s="395">
        <f>TCOS!L68</f>
        <v>5292517858.319747</v>
      </c>
      <c r="I75" s="351"/>
      <c r="J75" s="4"/>
      <c r="K75" s="4"/>
      <c r="L75" s="4"/>
      <c r="M75" s="4"/>
      <c r="N75" s="4"/>
      <c r="O75" s="4"/>
      <c r="P75" s="4"/>
      <c r="Q75" s="4"/>
    </row>
    <row r="76" spans="2:17">
      <c r="B76" s="4"/>
      <c r="C76" s="408" t="str">
        <f>"Annual Depreciation and Amortization Expense (TCOS, ln "&amp;TCOS!B181&amp;")"</f>
        <v>Annual Depreciation and Amortization Expense (TCOS, ln 100)</v>
      </c>
      <c r="D76" s="67"/>
      <c r="E76" s="4"/>
      <c r="H76" s="409">
        <f>TCOS!L181</f>
        <v>135866543.5941073</v>
      </c>
      <c r="I76" s="395"/>
      <c r="J76" s="4"/>
      <c r="K76" s="4"/>
      <c r="L76" s="4"/>
      <c r="M76" s="4"/>
      <c r="N76" s="4"/>
      <c r="O76" s="4"/>
      <c r="P76" s="4"/>
      <c r="Q76" s="4"/>
    </row>
    <row r="77" spans="2:17">
      <c r="B77" s="4"/>
      <c r="C77" s="4" t="s">
        <v>268</v>
      </c>
      <c r="D77" s="67"/>
      <c r="E77" s="4"/>
      <c r="H77" s="394">
        <f>+H76/H75</f>
        <v>2.5671437911263244E-2</v>
      </c>
      <c r="I77" s="411"/>
      <c r="J77" s="4"/>
      <c r="K77" s="4"/>
      <c r="L77" s="4"/>
      <c r="M77" s="4"/>
      <c r="N77" s="4"/>
      <c r="O77" s="4"/>
      <c r="P77" s="4"/>
      <c r="Q77" s="4"/>
    </row>
    <row r="78" spans="2:17">
      <c r="B78" s="4"/>
      <c r="C78" s="4" t="s">
        <v>269</v>
      </c>
      <c r="D78" s="67"/>
      <c r="E78" s="4"/>
      <c r="H78" s="411">
        <f>1/H77</f>
        <v>38.953797736481832</v>
      </c>
      <c r="I78" s="395"/>
      <c r="J78" s="4"/>
      <c r="K78" s="4"/>
      <c r="L78" s="4"/>
      <c r="M78" s="4"/>
      <c r="N78" s="4"/>
      <c r="O78" s="4"/>
      <c r="P78" s="4"/>
      <c r="Q78" s="4"/>
    </row>
    <row r="79" spans="2:17">
      <c r="B79" s="4"/>
      <c r="C79" s="4" t="s">
        <v>270</v>
      </c>
      <c r="D79" s="67"/>
      <c r="E79" s="4"/>
      <c r="H79" s="412">
        <f>ROUND(H78,0)</f>
        <v>39</v>
      </c>
      <c r="I79" s="395"/>
      <c r="J79" s="4"/>
      <c r="K79" s="4"/>
      <c r="L79" s="4"/>
      <c r="M79" s="4"/>
      <c r="N79" s="4"/>
      <c r="O79" s="4"/>
      <c r="P79" s="4"/>
      <c r="Q79" s="4"/>
    </row>
    <row r="80" spans="2:17">
      <c r="B80" s="4"/>
      <c r="C80" s="4"/>
      <c r="D80" s="67"/>
      <c r="E80" s="4"/>
      <c r="H80" s="412"/>
      <c r="I80" s="395"/>
      <c r="J80" s="4"/>
      <c r="K80" s="4"/>
      <c r="L80" s="4"/>
      <c r="M80" s="4"/>
      <c r="N80" s="4"/>
      <c r="O80" s="4"/>
      <c r="P80" s="4"/>
      <c r="Q80" s="4"/>
    </row>
    <row r="81" spans="1:17">
      <c r="C81" s="413"/>
      <c r="D81" s="412"/>
      <c r="E81" s="412"/>
      <c r="F81" s="412"/>
      <c r="G81" s="412"/>
      <c r="H81" s="410"/>
      <c r="I81" s="410"/>
      <c r="J81" s="414"/>
      <c r="K81" s="414"/>
      <c r="L81" s="414"/>
      <c r="M81" s="414"/>
      <c r="N81" s="414"/>
      <c r="O81" s="414"/>
      <c r="P81" s="4"/>
      <c r="Q81" s="414"/>
    </row>
    <row r="82" spans="1:17">
      <c r="C82" s="413"/>
      <c r="D82" s="412"/>
      <c r="E82" s="412"/>
      <c r="F82" s="412"/>
      <c r="G82" s="412"/>
      <c r="H82" s="410"/>
      <c r="I82" s="410"/>
      <c r="J82" s="414"/>
      <c r="K82" s="414"/>
      <c r="L82" s="414"/>
      <c r="M82" s="414"/>
      <c r="N82" s="414"/>
      <c r="O82" s="414"/>
      <c r="P82" s="4"/>
      <c r="Q82" s="414"/>
    </row>
    <row r="83" spans="1:17" ht="20.25">
      <c r="A83" s="352" t="s">
        <v>766</v>
      </c>
      <c r="B83" s="4"/>
      <c r="C83" s="4"/>
      <c r="D83" s="67"/>
      <c r="E83" s="4"/>
      <c r="F83" s="394"/>
      <c r="G83" s="394"/>
      <c r="H83" s="4"/>
      <c r="I83" s="395"/>
      <c r="L83" s="353"/>
      <c r="M83" s="353"/>
      <c r="N83" s="353"/>
      <c r="O83" s="353" t="str">
        <f>"Page "&amp;SUM(Q$3:Q83)&amp;" of "</f>
        <v xml:space="preserve">Page 2 of </v>
      </c>
      <c r="P83" s="354">
        <f>COUNT(Q$8:Q$58122)</f>
        <v>2</v>
      </c>
      <c r="Q83" s="486">
        <v>1</v>
      </c>
    </row>
    <row r="84" spans="1:17">
      <c r="B84" s="4"/>
      <c r="C84" s="4"/>
      <c r="D84" s="67"/>
      <c r="E84" s="4"/>
      <c r="F84" s="4"/>
      <c r="G84" s="4"/>
      <c r="H84" s="4"/>
      <c r="I84" s="395"/>
      <c r="J84" s="4"/>
      <c r="K84" s="4"/>
      <c r="L84" s="4"/>
      <c r="M84" s="4"/>
      <c r="N84" s="4"/>
      <c r="O84" s="4"/>
      <c r="P84" s="4"/>
      <c r="Q84" s="4"/>
    </row>
    <row r="85" spans="1:17" ht="18">
      <c r="B85" s="355" t="s">
        <v>174</v>
      </c>
      <c r="C85" s="415" t="s">
        <v>290</v>
      </c>
      <c r="D85" s="67"/>
      <c r="E85" s="4"/>
      <c r="F85" s="4"/>
      <c r="G85" s="4"/>
      <c r="H85" s="4"/>
      <c r="I85" s="395"/>
      <c r="J85" s="395"/>
      <c r="K85" s="410"/>
      <c r="L85" s="395"/>
      <c r="M85" s="395"/>
      <c r="N85" s="395"/>
      <c r="O85" s="395"/>
      <c r="P85" s="4"/>
      <c r="Q85" s="410"/>
    </row>
    <row r="86" spans="1:17" ht="18.75">
      <c r="B86" s="355"/>
      <c r="C86" s="11"/>
      <c r="D86" s="67"/>
      <c r="E86" s="4"/>
      <c r="F86" s="4"/>
      <c r="G86" s="4"/>
      <c r="H86" s="4"/>
      <c r="I86" s="395"/>
      <c r="J86" s="395"/>
      <c r="K86" s="410"/>
      <c r="L86" s="395"/>
      <c r="M86" s="395"/>
      <c r="N86" s="395"/>
      <c r="O86" s="395"/>
      <c r="P86" s="4"/>
      <c r="Q86" s="410"/>
    </row>
    <row r="87" spans="1:17" ht="18.75">
      <c r="B87" s="355"/>
      <c r="C87" s="11" t="s">
        <v>291</v>
      </c>
      <c r="D87" s="67"/>
      <c r="E87" s="4"/>
      <c r="F87" s="4"/>
      <c r="G87" s="4"/>
      <c r="H87" s="4"/>
      <c r="I87" s="395"/>
      <c r="J87" s="395"/>
      <c r="K87" s="410"/>
      <c r="L87" s="395"/>
      <c r="M87" s="395"/>
      <c r="N87" s="395"/>
      <c r="O87" s="395"/>
      <c r="P87" s="4"/>
      <c r="Q87" s="410"/>
    </row>
    <row r="88" spans="1:17" ht="15.75" thickBot="1">
      <c r="C88" s="203"/>
      <c r="D88" s="67"/>
      <c r="E88" s="4"/>
      <c r="F88" s="4"/>
      <c r="G88" s="4"/>
      <c r="H88" s="4"/>
      <c r="I88" s="395"/>
      <c r="J88" s="395"/>
      <c r="K88" s="410"/>
      <c r="L88" s="395"/>
      <c r="M88" s="395"/>
      <c r="N88" s="395"/>
      <c r="O88" s="395"/>
      <c r="P88" s="4"/>
      <c r="Q88" s="410"/>
    </row>
    <row r="89" spans="1:17" ht="15.75">
      <c r="C89" s="356" t="s">
        <v>292</v>
      </c>
      <c r="D89" s="67"/>
      <c r="E89" s="4"/>
      <c r="F89" s="4"/>
      <c r="G89" s="4"/>
      <c r="H89" s="559"/>
      <c r="I89" s="4" t="s">
        <v>271</v>
      </c>
      <c r="J89" s="4"/>
      <c r="K89" s="4"/>
      <c r="L89" s="487">
        <f>+J95</f>
        <v>2016</v>
      </c>
      <c r="M89" s="471" t="s">
        <v>254</v>
      </c>
      <c r="N89" s="471" t="s">
        <v>255</v>
      </c>
      <c r="O89" s="472" t="s">
        <v>256</v>
      </c>
      <c r="P89" s="4"/>
      <c r="Q89" s="4"/>
    </row>
    <row r="90" spans="1:17" ht="15.75">
      <c r="C90" s="356"/>
      <c r="D90" s="67"/>
      <c r="E90" s="4"/>
      <c r="F90" s="4"/>
      <c r="H90" s="4"/>
      <c r="I90" s="419"/>
      <c r="J90" s="419"/>
      <c r="K90" s="420"/>
      <c r="L90" s="488" t="s">
        <v>455</v>
      </c>
      <c r="M90" s="489" t="e">
        <f>VLOOKUP(J95,C102:P161,10)</f>
        <v>#N/A</v>
      </c>
      <c r="N90" s="489" t="e">
        <f>VLOOKUP(J95,C102:P161,12)</f>
        <v>#N/A</v>
      </c>
      <c r="O90" s="490" t="e">
        <f>+N90-M90</f>
        <v>#N/A</v>
      </c>
      <c r="P90" s="4"/>
      <c r="Q90" s="420"/>
    </row>
    <row r="91" spans="1:17">
      <c r="C91" s="422" t="s">
        <v>293</v>
      </c>
      <c r="D91" s="570"/>
      <c r="E91" s="570"/>
      <c r="F91" s="570"/>
      <c r="G91" s="570"/>
      <c r="H91" s="570"/>
      <c r="I91" s="395"/>
      <c r="J91" s="395"/>
      <c r="K91" s="410"/>
      <c r="L91" s="488" t="s">
        <v>456</v>
      </c>
      <c r="M91" s="491" t="e">
        <f>VLOOKUP(J95,C102:P161,6)</f>
        <v>#N/A</v>
      </c>
      <c r="N91" s="491" t="e">
        <f>VLOOKUP(J95,C102:P161,7)</f>
        <v>#N/A</v>
      </c>
      <c r="O91" s="492" t="e">
        <f>+N91-M91</f>
        <v>#N/A</v>
      </c>
      <c r="P91" s="4"/>
      <c r="Q91" s="410"/>
    </row>
    <row r="92" spans="1:17" ht="13.5" thickBot="1">
      <c r="C92" s="424"/>
      <c r="D92" s="425"/>
      <c r="E92" s="412"/>
      <c r="F92" s="412"/>
      <c r="G92" s="412"/>
      <c r="H92" s="426"/>
      <c r="I92" s="395"/>
      <c r="J92" s="395"/>
      <c r="K92" s="410"/>
      <c r="L92" s="435" t="s">
        <v>457</v>
      </c>
      <c r="M92" s="493" t="e">
        <f>+M91-M90</f>
        <v>#N/A</v>
      </c>
      <c r="N92" s="493" t="e">
        <f>+N91-N90</f>
        <v>#N/A</v>
      </c>
      <c r="O92" s="494" t="e">
        <f>+O91-O90</f>
        <v>#N/A</v>
      </c>
      <c r="P92" s="4"/>
      <c r="Q92" s="410"/>
    </row>
    <row r="93" spans="1:17" ht="13.5" thickBot="1">
      <c r="C93" s="424"/>
      <c r="D93" s="4"/>
      <c r="E93" s="426"/>
      <c r="F93" s="426"/>
      <c r="G93" s="426"/>
      <c r="H93" s="426"/>
      <c r="I93" s="426"/>
      <c r="J93" s="426"/>
      <c r="K93" s="426"/>
      <c r="L93" s="426"/>
      <c r="M93" s="426"/>
      <c r="N93" s="426"/>
      <c r="O93" s="426"/>
      <c r="P93" s="4"/>
      <c r="Q93" s="426"/>
    </row>
    <row r="94" spans="1:17" ht="13.5" thickBot="1">
      <c r="C94" s="427" t="s">
        <v>294</v>
      </c>
      <c r="D94" s="428"/>
      <c r="E94" s="428"/>
      <c r="F94" s="428"/>
      <c r="G94" s="428"/>
      <c r="H94" s="428"/>
      <c r="I94" s="428"/>
      <c r="J94" s="428"/>
      <c r="L94" s="4"/>
      <c r="M94" s="4"/>
      <c r="N94" s="4"/>
      <c r="O94" s="4"/>
      <c r="P94" s="4"/>
    </row>
    <row r="95" spans="1:17" ht="15">
      <c r="A95" s="468"/>
      <c r="C95" s="430" t="s">
        <v>272</v>
      </c>
      <c r="D95" s="560"/>
      <c r="E95" s="4" t="s">
        <v>273</v>
      </c>
      <c r="H95" s="67"/>
      <c r="I95" s="67"/>
      <c r="J95" s="431">
        <v>2016</v>
      </c>
      <c r="K95" s="114"/>
      <c r="L95" s="1289" t="s">
        <v>274</v>
      </c>
      <c r="M95" s="1289"/>
      <c r="N95" s="1289"/>
      <c r="O95" s="1289"/>
      <c r="P95" s="4"/>
      <c r="Q95" s="114"/>
    </row>
    <row r="96" spans="1:17">
      <c r="A96" s="468"/>
      <c r="C96" s="430" t="s">
        <v>275</v>
      </c>
      <c r="D96" s="571"/>
      <c r="E96" s="430" t="s">
        <v>276</v>
      </c>
      <c r="F96" s="67"/>
      <c r="G96" s="67"/>
      <c r="J96" s="564">
        <v>0</v>
      </c>
      <c r="K96" s="432"/>
      <c r="L96" s="410" t="s">
        <v>475</v>
      </c>
      <c r="M96" s="4"/>
      <c r="N96" s="4"/>
      <c r="O96" s="4"/>
      <c r="P96" s="4"/>
      <c r="Q96" s="432"/>
    </row>
    <row r="97" spans="1:17">
      <c r="A97" s="468"/>
      <c r="C97" s="430" t="s">
        <v>277</v>
      </c>
      <c r="D97" s="562"/>
      <c r="E97" s="430" t="s">
        <v>278</v>
      </c>
      <c r="F97" s="67"/>
      <c r="G97" s="67"/>
      <c r="J97" s="433">
        <f>$F$70</f>
        <v>0.1119061905251431</v>
      </c>
      <c r="K97" s="394"/>
      <c r="L97" s="4" t="str">
        <f>"          INPUT TRUE-UP ARR (WITH &amp; WITHOUT INCENTIVES) FROM EACH PRIOR YEAR"</f>
        <v xml:space="preserve">          INPUT TRUE-UP ARR (WITH &amp; WITHOUT INCENTIVES) FROM EACH PRIOR YEAR</v>
      </c>
      <c r="M97" s="4"/>
      <c r="N97" s="4"/>
      <c r="O97" s="4"/>
      <c r="P97" s="4"/>
      <c r="Q97" s="394"/>
    </row>
    <row r="98" spans="1:17">
      <c r="A98" s="468"/>
      <c r="C98" s="430" t="s">
        <v>279</v>
      </c>
      <c r="D98" s="434">
        <f>H79</f>
        <v>39</v>
      </c>
      <c r="E98" s="430" t="s">
        <v>280</v>
      </c>
      <c r="F98" s="67"/>
      <c r="G98" s="67"/>
      <c r="J98" s="433">
        <f>IF(H89="",J97,$F$69)</f>
        <v>0.1119061905251431</v>
      </c>
      <c r="K98" s="394"/>
      <c r="L98" s="4" t="s">
        <v>362</v>
      </c>
      <c r="M98" s="394"/>
      <c r="N98" s="394"/>
      <c r="O98" s="394"/>
      <c r="P98" s="4"/>
      <c r="Q98" s="394"/>
    </row>
    <row r="99" spans="1:17" ht="13.5" thickBot="1">
      <c r="A99" s="468"/>
      <c r="C99" s="430" t="s">
        <v>281</v>
      </c>
      <c r="D99" s="563"/>
      <c r="E99" s="435" t="s">
        <v>282</v>
      </c>
      <c r="F99" s="436"/>
      <c r="G99" s="436"/>
      <c r="H99" s="437"/>
      <c r="I99" s="437"/>
      <c r="J99" s="423">
        <f>IF(D95=0,0,D95/D98)</f>
        <v>0</v>
      </c>
      <c r="K99" s="410"/>
      <c r="L99" s="410" t="s">
        <v>363</v>
      </c>
      <c r="M99" s="410"/>
      <c r="N99" s="410"/>
      <c r="O99" s="410"/>
      <c r="P99" s="4"/>
      <c r="Q99" s="410"/>
    </row>
    <row r="100" spans="1:17" ht="38.25">
      <c r="A100" s="322"/>
      <c r="B100" s="322"/>
      <c r="C100" s="438" t="s">
        <v>272</v>
      </c>
      <c r="D100" s="439" t="s">
        <v>283</v>
      </c>
      <c r="E100" s="440" t="s">
        <v>284</v>
      </c>
      <c r="F100" s="439" t="s">
        <v>285</v>
      </c>
      <c r="G100" s="439" t="s">
        <v>458</v>
      </c>
      <c r="H100" s="440" t="s">
        <v>356</v>
      </c>
      <c r="I100" s="441" t="s">
        <v>356</v>
      </c>
      <c r="J100" s="438" t="s">
        <v>295</v>
      </c>
      <c r="K100" s="442"/>
      <c r="L100" s="440" t="s">
        <v>358</v>
      </c>
      <c r="M100" s="440" t="s">
        <v>364</v>
      </c>
      <c r="N100" s="440" t="s">
        <v>358</v>
      </c>
      <c r="O100" s="440" t="s">
        <v>366</v>
      </c>
      <c r="P100" s="440" t="s">
        <v>286</v>
      </c>
      <c r="Q100" s="443"/>
    </row>
    <row r="101" spans="1:17" ht="13.5" thickBot="1">
      <c r="C101" s="444" t="s">
        <v>177</v>
      </c>
      <c r="D101" s="445" t="s">
        <v>178</v>
      </c>
      <c r="E101" s="444" t="s">
        <v>37</v>
      </c>
      <c r="F101" s="445" t="s">
        <v>178</v>
      </c>
      <c r="G101" s="445" t="s">
        <v>178</v>
      </c>
      <c r="H101" s="446" t="s">
        <v>298</v>
      </c>
      <c r="I101" s="447" t="s">
        <v>300</v>
      </c>
      <c r="J101" s="444" t="s">
        <v>389</v>
      </c>
      <c r="K101" s="448"/>
      <c r="L101" s="446" t="s">
        <v>287</v>
      </c>
      <c r="M101" s="446" t="s">
        <v>287</v>
      </c>
      <c r="N101" s="446" t="s">
        <v>467</v>
      </c>
      <c r="O101" s="446" t="s">
        <v>467</v>
      </c>
      <c r="P101" s="446" t="s">
        <v>467</v>
      </c>
      <c r="Q101" s="114"/>
    </row>
    <row r="102" spans="1:17">
      <c r="C102" s="449" t="str">
        <f>IF(D96= "","-",D96)</f>
        <v>-</v>
      </c>
      <c r="D102" s="412">
        <f>+D95</f>
        <v>0</v>
      </c>
      <c r="E102" s="450">
        <f>+J99/12*(12-D97)</f>
        <v>0</v>
      </c>
      <c r="F102" s="495">
        <f t="shared" ref="F102:F133" si="0">+D102-E102</f>
        <v>0</v>
      </c>
      <c r="G102" s="412">
        <f t="shared" ref="G102:G133" si="1">+(D102+F102)/2</f>
        <v>0</v>
      </c>
      <c r="H102" s="451">
        <f>+J97*G102+E102</f>
        <v>0</v>
      </c>
      <c r="I102" s="452">
        <f>+J98*G102+E102</f>
        <v>0</v>
      </c>
      <c r="J102" s="453">
        <f t="shared" ref="J102:J133" si="2">+I102-H102</f>
        <v>0</v>
      </c>
      <c r="K102" s="453"/>
      <c r="L102" s="454"/>
      <c r="M102" s="496">
        <f t="shared" ref="M102:M133" si="3">IF(L102&lt;&gt;0,+H102-L102,0)</f>
        <v>0</v>
      </c>
      <c r="N102" s="454"/>
      <c r="O102" s="496">
        <f t="shared" ref="O102:O133" si="4">IF(N102&lt;&gt;0,+I102-N102,0)</f>
        <v>0</v>
      </c>
      <c r="P102" s="496">
        <f t="shared" ref="P102:P133" si="5">+O102-M102</f>
        <v>0</v>
      </c>
      <c r="Q102" s="414"/>
    </row>
    <row r="103" spans="1:17">
      <c r="C103" s="449" t="str">
        <f>IF(D96="","-",+C102+1)</f>
        <v>-</v>
      </c>
      <c r="D103" s="412">
        <f t="shared" ref="D103:D134" si="6">F102</f>
        <v>0</v>
      </c>
      <c r="E103" s="456">
        <f t="shared" ref="E103:E134" si="7">IF(D103&gt;$J$99,$J$99,D103)</f>
        <v>0</v>
      </c>
      <c r="F103" s="456">
        <f t="shared" si="0"/>
        <v>0</v>
      </c>
      <c r="G103" s="412">
        <f t="shared" si="1"/>
        <v>0</v>
      </c>
      <c r="H103" s="450">
        <f>+J97*G103+E103</f>
        <v>0</v>
      </c>
      <c r="I103" s="457">
        <f>+J98*G103+E103</f>
        <v>0</v>
      </c>
      <c r="J103" s="453">
        <f t="shared" si="2"/>
        <v>0</v>
      </c>
      <c r="K103" s="453"/>
      <c r="L103" s="458"/>
      <c r="M103" s="453">
        <f t="shared" si="3"/>
        <v>0</v>
      </c>
      <c r="N103" s="458"/>
      <c r="O103" s="453">
        <f t="shared" si="4"/>
        <v>0</v>
      </c>
      <c r="P103" s="453">
        <f t="shared" si="5"/>
        <v>0</v>
      </c>
      <c r="Q103" s="414"/>
    </row>
    <row r="104" spans="1:17">
      <c r="C104" s="449" t="str">
        <f>IF(D96="","-",+C103+1)</f>
        <v>-</v>
      </c>
      <c r="D104" s="412">
        <f t="shared" si="6"/>
        <v>0</v>
      </c>
      <c r="E104" s="456">
        <f t="shared" si="7"/>
        <v>0</v>
      </c>
      <c r="F104" s="456">
        <f t="shared" si="0"/>
        <v>0</v>
      </c>
      <c r="G104" s="412">
        <f t="shared" si="1"/>
        <v>0</v>
      </c>
      <c r="H104" s="450">
        <f>+J97*G104+E104</f>
        <v>0</v>
      </c>
      <c r="I104" s="457">
        <f>+J98*G104+E104</f>
        <v>0</v>
      </c>
      <c r="J104" s="453">
        <f t="shared" si="2"/>
        <v>0</v>
      </c>
      <c r="K104" s="453"/>
      <c r="L104" s="458"/>
      <c r="M104" s="453">
        <f t="shared" si="3"/>
        <v>0</v>
      </c>
      <c r="N104" s="458"/>
      <c r="O104" s="453">
        <f t="shared" si="4"/>
        <v>0</v>
      </c>
      <c r="P104" s="453">
        <f t="shared" si="5"/>
        <v>0</v>
      </c>
      <c r="Q104" s="414"/>
    </row>
    <row r="105" spans="1:17">
      <c r="C105" s="449" t="str">
        <f>IF(D96="","-",+C104+1)</f>
        <v>-</v>
      </c>
      <c r="D105" s="412">
        <f t="shared" si="6"/>
        <v>0</v>
      </c>
      <c r="E105" s="456">
        <f t="shared" si="7"/>
        <v>0</v>
      </c>
      <c r="F105" s="456">
        <f t="shared" si="0"/>
        <v>0</v>
      </c>
      <c r="G105" s="412">
        <f t="shared" si="1"/>
        <v>0</v>
      </c>
      <c r="H105" s="450">
        <f>+J97*G105+E105</f>
        <v>0</v>
      </c>
      <c r="I105" s="457">
        <f>+J98*G105+E105</f>
        <v>0</v>
      </c>
      <c r="J105" s="453">
        <f t="shared" si="2"/>
        <v>0</v>
      </c>
      <c r="K105" s="453"/>
      <c r="L105" s="458"/>
      <c r="M105" s="453">
        <f t="shared" si="3"/>
        <v>0</v>
      </c>
      <c r="N105" s="458"/>
      <c r="O105" s="453">
        <f t="shared" si="4"/>
        <v>0</v>
      </c>
      <c r="P105" s="453">
        <f t="shared" si="5"/>
        <v>0</v>
      </c>
      <c r="Q105" s="414"/>
    </row>
    <row r="106" spans="1:17">
      <c r="C106" s="449" t="str">
        <f>IF(D96="","-",+C105+1)</f>
        <v>-</v>
      </c>
      <c r="D106" s="412">
        <f t="shared" si="6"/>
        <v>0</v>
      </c>
      <c r="E106" s="456">
        <f t="shared" si="7"/>
        <v>0</v>
      </c>
      <c r="F106" s="456">
        <f t="shared" si="0"/>
        <v>0</v>
      </c>
      <c r="G106" s="412">
        <f t="shared" si="1"/>
        <v>0</v>
      </c>
      <c r="H106" s="450">
        <f>+J97*G106+E106</f>
        <v>0</v>
      </c>
      <c r="I106" s="457">
        <f>+J98*G106+E106</f>
        <v>0</v>
      </c>
      <c r="J106" s="453">
        <f t="shared" si="2"/>
        <v>0</v>
      </c>
      <c r="K106" s="453"/>
      <c r="L106" s="458"/>
      <c r="M106" s="453">
        <f t="shared" si="3"/>
        <v>0</v>
      </c>
      <c r="N106" s="458"/>
      <c r="O106" s="453">
        <f t="shared" si="4"/>
        <v>0</v>
      </c>
      <c r="P106" s="453">
        <f t="shared" si="5"/>
        <v>0</v>
      </c>
      <c r="Q106" s="414"/>
    </row>
    <row r="107" spans="1:17">
      <c r="C107" s="449" t="str">
        <f>IF(D96="","-",+C106+1)</f>
        <v>-</v>
      </c>
      <c r="D107" s="412">
        <f t="shared" si="6"/>
        <v>0</v>
      </c>
      <c r="E107" s="456">
        <f t="shared" si="7"/>
        <v>0</v>
      </c>
      <c r="F107" s="456">
        <f t="shared" si="0"/>
        <v>0</v>
      </c>
      <c r="G107" s="412">
        <f t="shared" si="1"/>
        <v>0</v>
      </c>
      <c r="H107" s="450">
        <f>+J97*G107+E107</f>
        <v>0</v>
      </c>
      <c r="I107" s="457">
        <f>+J98*G107+E107</f>
        <v>0</v>
      </c>
      <c r="J107" s="453">
        <f t="shared" si="2"/>
        <v>0</v>
      </c>
      <c r="K107" s="453"/>
      <c r="L107" s="458"/>
      <c r="M107" s="453">
        <f t="shared" si="3"/>
        <v>0</v>
      </c>
      <c r="N107" s="458"/>
      <c r="O107" s="453">
        <f t="shared" si="4"/>
        <v>0</v>
      </c>
      <c r="P107" s="453">
        <f t="shared" si="5"/>
        <v>0</v>
      </c>
      <c r="Q107" s="414"/>
    </row>
    <row r="108" spans="1:17">
      <c r="C108" s="449" t="str">
        <f>IF(D96="","-",+C107+1)</f>
        <v>-</v>
      </c>
      <c r="D108" s="412">
        <f t="shared" si="6"/>
        <v>0</v>
      </c>
      <c r="E108" s="456">
        <f t="shared" si="7"/>
        <v>0</v>
      </c>
      <c r="F108" s="456">
        <f t="shared" si="0"/>
        <v>0</v>
      </c>
      <c r="G108" s="412">
        <f t="shared" si="1"/>
        <v>0</v>
      </c>
      <c r="H108" s="450">
        <f>+J97*G108+E108</f>
        <v>0</v>
      </c>
      <c r="I108" s="457">
        <f>+J98*G108+E108</f>
        <v>0</v>
      </c>
      <c r="J108" s="453">
        <f t="shared" si="2"/>
        <v>0</v>
      </c>
      <c r="K108" s="453"/>
      <c r="L108" s="458"/>
      <c r="M108" s="453">
        <f t="shared" si="3"/>
        <v>0</v>
      </c>
      <c r="N108" s="458"/>
      <c r="O108" s="453">
        <f t="shared" si="4"/>
        <v>0</v>
      </c>
      <c r="P108" s="453">
        <f t="shared" si="5"/>
        <v>0</v>
      </c>
      <c r="Q108" s="414"/>
    </row>
    <row r="109" spans="1:17">
      <c r="C109" s="449" t="str">
        <f>IF(D96="","-",+C108+1)</f>
        <v>-</v>
      </c>
      <c r="D109" s="412">
        <f t="shared" si="6"/>
        <v>0</v>
      </c>
      <c r="E109" s="456">
        <f t="shared" si="7"/>
        <v>0</v>
      </c>
      <c r="F109" s="456">
        <f t="shared" si="0"/>
        <v>0</v>
      </c>
      <c r="G109" s="412">
        <f t="shared" si="1"/>
        <v>0</v>
      </c>
      <c r="H109" s="450">
        <f>+J97*G109+E109</f>
        <v>0</v>
      </c>
      <c r="I109" s="457">
        <f>+J98*G109+E109</f>
        <v>0</v>
      </c>
      <c r="J109" s="453">
        <f t="shared" si="2"/>
        <v>0</v>
      </c>
      <c r="K109" s="453"/>
      <c r="L109" s="458"/>
      <c r="M109" s="453">
        <f t="shared" si="3"/>
        <v>0</v>
      </c>
      <c r="N109" s="458"/>
      <c r="O109" s="453">
        <f t="shared" si="4"/>
        <v>0</v>
      </c>
      <c r="P109" s="453">
        <f t="shared" si="5"/>
        <v>0</v>
      </c>
      <c r="Q109" s="414"/>
    </row>
    <row r="110" spans="1:17">
      <c r="C110" s="449" t="str">
        <f>IF(D96="","-",+C109+1)</f>
        <v>-</v>
      </c>
      <c r="D110" s="412">
        <f t="shared" si="6"/>
        <v>0</v>
      </c>
      <c r="E110" s="456">
        <f t="shared" si="7"/>
        <v>0</v>
      </c>
      <c r="F110" s="456">
        <f t="shared" si="0"/>
        <v>0</v>
      </c>
      <c r="G110" s="412">
        <f t="shared" si="1"/>
        <v>0</v>
      </c>
      <c r="H110" s="450">
        <f>+J97*G110+E110</f>
        <v>0</v>
      </c>
      <c r="I110" s="457">
        <f>+J98*G110+E110</f>
        <v>0</v>
      </c>
      <c r="J110" s="453">
        <f t="shared" si="2"/>
        <v>0</v>
      </c>
      <c r="K110" s="453"/>
      <c r="L110" s="458"/>
      <c r="M110" s="453">
        <f t="shared" si="3"/>
        <v>0</v>
      </c>
      <c r="N110" s="458"/>
      <c r="O110" s="453">
        <f t="shared" si="4"/>
        <v>0</v>
      </c>
      <c r="P110" s="453">
        <f t="shared" si="5"/>
        <v>0</v>
      </c>
      <c r="Q110" s="414"/>
    </row>
    <row r="111" spans="1:17">
      <c r="C111" s="449" t="str">
        <f>IF(D96="","-",+C110+1)</f>
        <v>-</v>
      </c>
      <c r="D111" s="412">
        <f t="shared" si="6"/>
        <v>0</v>
      </c>
      <c r="E111" s="456">
        <f t="shared" si="7"/>
        <v>0</v>
      </c>
      <c r="F111" s="456">
        <f t="shared" si="0"/>
        <v>0</v>
      </c>
      <c r="G111" s="412">
        <f t="shared" si="1"/>
        <v>0</v>
      </c>
      <c r="H111" s="450">
        <f>+J97*G111+E111</f>
        <v>0</v>
      </c>
      <c r="I111" s="457">
        <f>+J98*G111+E111</f>
        <v>0</v>
      </c>
      <c r="J111" s="453">
        <f t="shared" si="2"/>
        <v>0</v>
      </c>
      <c r="K111" s="453"/>
      <c r="L111" s="458"/>
      <c r="M111" s="453">
        <f t="shared" si="3"/>
        <v>0</v>
      </c>
      <c r="N111" s="458"/>
      <c r="O111" s="453">
        <f t="shared" si="4"/>
        <v>0</v>
      </c>
      <c r="P111" s="453">
        <f t="shared" si="5"/>
        <v>0</v>
      </c>
      <c r="Q111" s="414"/>
    </row>
    <row r="112" spans="1:17">
      <c r="C112" s="449" t="str">
        <f>IF(D96="","-",+C111+1)</f>
        <v>-</v>
      </c>
      <c r="D112" s="412">
        <f t="shared" si="6"/>
        <v>0</v>
      </c>
      <c r="E112" s="456">
        <f t="shared" si="7"/>
        <v>0</v>
      </c>
      <c r="F112" s="456">
        <f t="shared" si="0"/>
        <v>0</v>
      </c>
      <c r="G112" s="412">
        <f t="shared" si="1"/>
        <v>0</v>
      </c>
      <c r="H112" s="450">
        <f>+J97*G112+E112</f>
        <v>0</v>
      </c>
      <c r="I112" s="457">
        <f>+J98*G112+E112</f>
        <v>0</v>
      </c>
      <c r="J112" s="453">
        <f t="shared" si="2"/>
        <v>0</v>
      </c>
      <c r="K112" s="453"/>
      <c r="L112" s="458"/>
      <c r="M112" s="453">
        <f t="shared" si="3"/>
        <v>0</v>
      </c>
      <c r="N112" s="458"/>
      <c r="O112" s="453">
        <f t="shared" si="4"/>
        <v>0</v>
      </c>
      <c r="P112" s="453">
        <f t="shared" si="5"/>
        <v>0</v>
      </c>
      <c r="Q112" s="414"/>
    </row>
    <row r="113" spans="3:17">
      <c r="C113" s="449" t="str">
        <f>IF(D96="","-",+C112+1)</f>
        <v>-</v>
      </c>
      <c r="D113" s="412">
        <f t="shared" si="6"/>
        <v>0</v>
      </c>
      <c r="E113" s="456">
        <f t="shared" si="7"/>
        <v>0</v>
      </c>
      <c r="F113" s="456">
        <f t="shared" si="0"/>
        <v>0</v>
      </c>
      <c r="G113" s="412">
        <f t="shared" si="1"/>
        <v>0</v>
      </c>
      <c r="H113" s="450">
        <f>+J97*G113+E113</f>
        <v>0</v>
      </c>
      <c r="I113" s="457">
        <f>+J98*G113+E113</f>
        <v>0</v>
      </c>
      <c r="J113" s="453">
        <f t="shared" si="2"/>
        <v>0</v>
      </c>
      <c r="K113" s="453"/>
      <c r="L113" s="458"/>
      <c r="M113" s="453">
        <f t="shared" si="3"/>
        <v>0</v>
      </c>
      <c r="N113" s="458"/>
      <c r="O113" s="453">
        <f t="shared" si="4"/>
        <v>0</v>
      </c>
      <c r="P113" s="453">
        <f t="shared" si="5"/>
        <v>0</v>
      </c>
      <c r="Q113" s="414"/>
    </row>
    <row r="114" spans="3:17">
      <c r="C114" s="449" t="str">
        <f>IF(D96="","-",+C113+1)</f>
        <v>-</v>
      </c>
      <c r="D114" s="412">
        <f t="shared" si="6"/>
        <v>0</v>
      </c>
      <c r="E114" s="456">
        <f t="shared" si="7"/>
        <v>0</v>
      </c>
      <c r="F114" s="456">
        <f t="shared" si="0"/>
        <v>0</v>
      </c>
      <c r="G114" s="412">
        <f t="shared" si="1"/>
        <v>0</v>
      </c>
      <c r="H114" s="450">
        <f>+J97*G114+E114</f>
        <v>0</v>
      </c>
      <c r="I114" s="457">
        <f>+J98*G114+E114</f>
        <v>0</v>
      </c>
      <c r="J114" s="453">
        <f t="shared" si="2"/>
        <v>0</v>
      </c>
      <c r="K114" s="453"/>
      <c r="L114" s="458"/>
      <c r="M114" s="453">
        <f t="shared" si="3"/>
        <v>0</v>
      </c>
      <c r="N114" s="458"/>
      <c r="O114" s="453">
        <f t="shared" si="4"/>
        <v>0</v>
      </c>
      <c r="P114" s="453">
        <f t="shared" si="5"/>
        <v>0</v>
      </c>
      <c r="Q114" s="414"/>
    </row>
    <row r="115" spans="3:17">
      <c r="C115" s="449" t="str">
        <f>IF(D96="","-",+C114+1)</f>
        <v>-</v>
      </c>
      <c r="D115" s="412">
        <f t="shared" si="6"/>
        <v>0</v>
      </c>
      <c r="E115" s="456">
        <f t="shared" si="7"/>
        <v>0</v>
      </c>
      <c r="F115" s="456">
        <f t="shared" si="0"/>
        <v>0</v>
      </c>
      <c r="G115" s="412">
        <f t="shared" si="1"/>
        <v>0</v>
      </c>
      <c r="H115" s="450">
        <f>+J97*G115+E115</f>
        <v>0</v>
      </c>
      <c r="I115" s="457">
        <f>+J98*G115+E115</f>
        <v>0</v>
      </c>
      <c r="J115" s="453">
        <f t="shared" si="2"/>
        <v>0</v>
      </c>
      <c r="K115" s="453"/>
      <c r="L115" s="458"/>
      <c r="M115" s="453">
        <f t="shared" si="3"/>
        <v>0</v>
      </c>
      <c r="N115" s="458"/>
      <c r="O115" s="453">
        <f t="shared" si="4"/>
        <v>0</v>
      </c>
      <c r="P115" s="453">
        <f t="shared" si="5"/>
        <v>0</v>
      </c>
      <c r="Q115" s="414"/>
    </row>
    <row r="116" spans="3:17">
      <c r="C116" s="449" t="str">
        <f>IF(D96="","-",+C115+1)</f>
        <v>-</v>
      </c>
      <c r="D116" s="412">
        <f t="shared" si="6"/>
        <v>0</v>
      </c>
      <c r="E116" s="456">
        <f t="shared" si="7"/>
        <v>0</v>
      </c>
      <c r="F116" s="456">
        <f t="shared" si="0"/>
        <v>0</v>
      </c>
      <c r="G116" s="412">
        <f t="shared" si="1"/>
        <v>0</v>
      </c>
      <c r="H116" s="450">
        <f>+J97*G116+E116</f>
        <v>0</v>
      </c>
      <c r="I116" s="457">
        <f>+J98*G116+E116</f>
        <v>0</v>
      </c>
      <c r="J116" s="453">
        <f t="shared" si="2"/>
        <v>0</v>
      </c>
      <c r="K116" s="453"/>
      <c r="L116" s="458"/>
      <c r="M116" s="453">
        <f t="shared" si="3"/>
        <v>0</v>
      </c>
      <c r="N116" s="458"/>
      <c r="O116" s="453">
        <f t="shared" si="4"/>
        <v>0</v>
      </c>
      <c r="P116" s="453">
        <f t="shared" si="5"/>
        <v>0</v>
      </c>
      <c r="Q116" s="414"/>
    </row>
    <row r="117" spans="3:17">
      <c r="C117" s="449" t="str">
        <f>IF(D96="","-",+C116+1)</f>
        <v>-</v>
      </c>
      <c r="D117" s="412">
        <f t="shared" si="6"/>
        <v>0</v>
      </c>
      <c r="E117" s="456">
        <f t="shared" si="7"/>
        <v>0</v>
      </c>
      <c r="F117" s="456">
        <f t="shared" si="0"/>
        <v>0</v>
      </c>
      <c r="G117" s="412">
        <f t="shared" si="1"/>
        <v>0</v>
      </c>
      <c r="H117" s="450">
        <f>+J97*G117+E117</f>
        <v>0</v>
      </c>
      <c r="I117" s="457">
        <f>+J98*G117+E117</f>
        <v>0</v>
      </c>
      <c r="J117" s="453">
        <f t="shared" si="2"/>
        <v>0</v>
      </c>
      <c r="K117" s="453"/>
      <c r="L117" s="458"/>
      <c r="M117" s="453">
        <f t="shared" si="3"/>
        <v>0</v>
      </c>
      <c r="N117" s="458"/>
      <c r="O117" s="453">
        <f t="shared" si="4"/>
        <v>0</v>
      </c>
      <c r="P117" s="453">
        <f t="shared" si="5"/>
        <v>0</v>
      </c>
      <c r="Q117" s="414"/>
    </row>
    <row r="118" spans="3:17">
      <c r="C118" s="449" t="str">
        <f>IF(D96="","-",+C117+1)</f>
        <v>-</v>
      </c>
      <c r="D118" s="412">
        <f t="shared" si="6"/>
        <v>0</v>
      </c>
      <c r="E118" s="456">
        <f t="shared" si="7"/>
        <v>0</v>
      </c>
      <c r="F118" s="456">
        <f t="shared" si="0"/>
        <v>0</v>
      </c>
      <c r="G118" s="412">
        <f t="shared" si="1"/>
        <v>0</v>
      </c>
      <c r="H118" s="450">
        <f>+J97*G118+E118</f>
        <v>0</v>
      </c>
      <c r="I118" s="457">
        <f>+J98*G118+E118</f>
        <v>0</v>
      </c>
      <c r="J118" s="453">
        <f t="shared" si="2"/>
        <v>0</v>
      </c>
      <c r="K118" s="453"/>
      <c r="L118" s="458"/>
      <c r="M118" s="453">
        <f t="shared" si="3"/>
        <v>0</v>
      </c>
      <c r="N118" s="458"/>
      <c r="O118" s="453">
        <f t="shared" si="4"/>
        <v>0</v>
      </c>
      <c r="P118" s="453">
        <f t="shared" si="5"/>
        <v>0</v>
      </c>
      <c r="Q118" s="414"/>
    </row>
    <row r="119" spans="3:17">
      <c r="C119" s="449" t="str">
        <f>IF(D96="","-",+C118+1)</f>
        <v>-</v>
      </c>
      <c r="D119" s="412">
        <f t="shared" si="6"/>
        <v>0</v>
      </c>
      <c r="E119" s="456">
        <f t="shared" si="7"/>
        <v>0</v>
      </c>
      <c r="F119" s="456">
        <f t="shared" si="0"/>
        <v>0</v>
      </c>
      <c r="G119" s="412">
        <f t="shared" si="1"/>
        <v>0</v>
      </c>
      <c r="H119" s="450">
        <f>+J97*G119+E119</f>
        <v>0</v>
      </c>
      <c r="I119" s="457">
        <f>+J98*G119+E119</f>
        <v>0</v>
      </c>
      <c r="J119" s="453">
        <f t="shared" si="2"/>
        <v>0</v>
      </c>
      <c r="K119" s="453"/>
      <c r="L119" s="458"/>
      <c r="M119" s="453">
        <f t="shared" si="3"/>
        <v>0</v>
      </c>
      <c r="N119" s="458"/>
      <c r="O119" s="453">
        <f t="shared" si="4"/>
        <v>0</v>
      </c>
      <c r="P119" s="453">
        <f t="shared" si="5"/>
        <v>0</v>
      </c>
      <c r="Q119" s="414"/>
    </row>
    <row r="120" spans="3:17">
      <c r="C120" s="449" t="str">
        <f>IF(D96="","-",+C119+1)</f>
        <v>-</v>
      </c>
      <c r="D120" s="412">
        <f t="shared" si="6"/>
        <v>0</v>
      </c>
      <c r="E120" s="456">
        <f t="shared" si="7"/>
        <v>0</v>
      </c>
      <c r="F120" s="456">
        <f t="shared" si="0"/>
        <v>0</v>
      </c>
      <c r="G120" s="412">
        <f t="shared" si="1"/>
        <v>0</v>
      </c>
      <c r="H120" s="450">
        <f>+J97*G120+E120</f>
        <v>0</v>
      </c>
      <c r="I120" s="457">
        <f>+J98*G120+E120</f>
        <v>0</v>
      </c>
      <c r="J120" s="453">
        <f t="shared" si="2"/>
        <v>0</v>
      </c>
      <c r="K120" s="453"/>
      <c r="L120" s="458"/>
      <c r="M120" s="453">
        <f t="shared" si="3"/>
        <v>0</v>
      </c>
      <c r="N120" s="458"/>
      <c r="O120" s="453">
        <f t="shared" si="4"/>
        <v>0</v>
      </c>
      <c r="P120" s="453">
        <f t="shared" si="5"/>
        <v>0</v>
      </c>
      <c r="Q120" s="414"/>
    </row>
    <row r="121" spans="3:17">
      <c r="C121" s="449" t="str">
        <f>IF(D96="","-",+C120+1)</f>
        <v>-</v>
      </c>
      <c r="D121" s="412">
        <f t="shared" si="6"/>
        <v>0</v>
      </c>
      <c r="E121" s="456">
        <f t="shared" si="7"/>
        <v>0</v>
      </c>
      <c r="F121" s="456">
        <f t="shared" si="0"/>
        <v>0</v>
      </c>
      <c r="G121" s="412">
        <f t="shared" si="1"/>
        <v>0</v>
      </c>
      <c r="H121" s="450">
        <f>+J97*G121+E121</f>
        <v>0</v>
      </c>
      <c r="I121" s="457">
        <f>+J98*G121+E121</f>
        <v>0</v>
      </c>
      <c r="J121" s="453">
        <f t="shared" si="2"/>
        <v>0</v>
      </c>
      <c r="K121" s="453"/>
      <c r="L121" s="458"/>
      <c r="M121" s="453">
        <f t="shared" si="3"/>
        <v>0</v>
      </c>
      <c r="N121" s="458"/>
      <c r="O121" s="453">
        <f t="shared" si="4"/>
        <v>0</v>
      </c>
      <c r="P121" s="453">
        <f t="shared" si="5"/>
        <v>0</v>
      </c>
      <c r="Q121" s="414"/>
    </row>
    <row r="122" spans="3:17">
      <c r="C122" s="449" t="str">
        <f>IF(D96="","-",+C121+1)</f>
        <v>-</v>
      </c>
      <c r="D122" s="412">
        <f t="shared" si="6"/>
        <v>0</v>
      </c>
      <c r="E122" s="456">
        <f t="shared" si="7"/>
        <v>0</v>
      </c>
      <c r="F122" s="456">
        <f t="shared" si="0"/>
        <v>0</v>
      </c>
      <c r="G122" s="412">
        <f t="shared" si="1"/>
        <v>0</v>
      </c>
      <c r="H122" s="450">
        <f>+J97*G122+E122</f>
        <v>0</v>
      </c>
      <c r="I122" s="457">
        <f>+J98*G122+E122</f>
        <v>0</v>
      </c>
      <c r="J122" s="453">
        <f t="shared" si="2"/>
        <v>0</v>
      </c>
      <c r="K122" s="453"/>
      <c r="L122" s="458"/>
      <c r="M122" s="453">
        <f t="shared" si="3"/>
        <v>0</v>
      </c>
      <c r="N122" s="458"/>
      <c r="O122" s="453">
        <f t="shared" si="4"/>
        <v>0</v>
      </c>
      <c r="P122" s="453">
        <f t="shared" si="5"/>
        <v>0</v>
      </c>
      <c r="Q122" s="414"/>
    </row>
    <row r="123" spans="3:17">
      <c r="C123" s="449" t="str">
        <f>IF(D96="","-",+C122+1)</f>
        <v>-</v>
      </c>
      <c r="D123" s="412">
        <f t="shared" si="6"/>
        <v>0</v>
      </c>
      <c r="E123" s="456">
        <f t="shared" si="7"/>
        <v>0</v>
      </c>
      <c r="F123" s="456">
        <f t="shared" si="0"/>
        <v>0</v>
      </c>
      <c r="G123" s="412">
        <f t="shared" si="1"/>
        <v>0</v>
      </c>
      <c r="H123" s="450">
        <f>+J97*G123+E123</f>
        <v>0</v>
      </c>
      <c r="I123" s="457">
        <f>+J98*G123+E123</f>
        <v>0</v>
      </c>
      <c r="J123" s="453">
        <f t="shared" si="2"/>
        <v>0</v>
      </c>
      <c r="K123" s="453"/>
      <c r="L123" s="458"/>
      <c r="M123" s="453">
        <f t="shared" si="3"/>
        <v>0</v>
      </c>
      <c r="N123" s="458"/>
      <c r="O123" s="453">
        <f t="shared" si="4"/>
        <v>0</v>
      </c>
      <c r="P123" s="453">
        <f t="shared" si="5"/>
        <v>0</v>
      </c>
      <c r="Q123" s="414"/>
    </row>
    <row r="124" spans="3:17">
      <c r="C124" s="449" t="str">
        <f>IF(D96="","-",+C123+1)</f>
        <v>-</v>
      </c>
      <c r="D124" s="412">
        <f t="shared" si="6"/>
        <v>0</v>
      </c>
      <c r="E124" s="456">
        <f t="shared" si="7"/>
        <v>0</v>
      </c>
      <c r="F124" s="456">
        <f t="shared" si="0"/>
        <v>0</v>
      </c>
      <c r="G124" s="412">
        <f t="shared" si="1"/>
        <v>0</v>
      </c>
      <c r="H124" s="450">
        <f>+J97*G124+E124</f>
        <v>0</v>
      </c>
      <c r="I124" s="457">
        <f>+J98*G124+E124</f>
        <v>0</v>
      </c>
      <c r="J124" s="453">
        <f t="shared" si="2"/>
        <v>0</v>
      </c>
      <c r="K124" s="453"/>
      <c r="L124" s="458"/>
      <c r="M124" s="453">
        <f t="shared" si="3"/>
        <v>0</v>
      </c>
      <c r="N124" s="458"/>
      <c r="O124" s="453">
        <f t="shared" si="4"/>
        <v>0</v>
      </c>
      <c r="P124" s="453">
        <f t="shared" si="5"/>
        <v>0</v>
      </c>
      <c r="Q124" s="414"/>
    </row>
    <row r="125" spans="3:17">
      <c r="C125" s="449" t="str">
        <f>IF(D96="","-",+C124+1)</f>
        <v>-</v>
      </c>
      <c r="D125" s="412">
        <f t="shared" si="6"/>
        <v>0</v>
      </c>
      <c r="E125" s="456">
        <f t="shared" si="7"/>
        <v>0</v>
      </c>
      <c r="F125" s="456">
        <f t="shared" si="0"/>
        <v>0</v>
      </c>
      <c r="G125" s="412">
        <f t="shared" si="1"/>
        <v>0</v>
      </c>
      <c r="H125" s="450">
        <f>+J97*G125+E125</f>
        <v>0</v>
      </c>
      <c r="I125" s="457">
        <f>+J98*G125+E125</f>
        <v>0</v>
      </c>
      <c r="J125" s="453">
        <f t="shared" si="2"/>
        <v>0</v>
      </c>
      <c r="K125" s="453"/>
      <c r="L125" s="458"/>
      <c r="M125" s="453">
        <f t="shared" si="3"/>
        <v>0</v>
      </c>
      <c r="N125" s="458"/>
      <c r="O125" s="453">
        <f t="shared" si="4"/>
        <v>0</v>
      </c>
      <c r="P125" s="453">
        <f t="shared" si="5"/>
        <v>0</v>
      </c>
      <c r="Q125" s="414"/>
    </row>
    <row r="126" spans="3:17">
      <c r="C126" s="449" t="str">
        <f>IF(D96="","-",+C125+1)</f>
        <v>-</v>
      </c>
      <c r="D126" s="412">
        <f t="shared" si="6"/>
        <v>0</v>
      </c>
      <c r="E126" s="456">
        <f t="shared" si="7"/>
        <v>0</v>
      </c>
      <c r="F126" s="456">
        <f t="shared" si="0"/>
        <v>0</v>
      </c>
      <c r="G126" s="412">
        <f t="shared" si="1"/>
        <v>0</v>
      </c>
      <c r="H126" s="450">
        <f>+J97*G126+E126</f>
        <v>0</v>
      </c>
      <c r="I126" s="457">
        <f>+J98*G126+E126</f>
        <v>0</v>
      </c>
      <c r="J126" s="453">
        <f t="shared" si="2"/>
        <v>0</v>
      </c>
      <c r="K126" s="453"/>
      <c r="L126" s="458"/>
      <c r="M126" s="453">
        <f t="shared" si="3"/>
        <v>0</v>
      </c>
      <c r="N126" s="458"/>
      <c r="O126" s="453">
        <f t="shared" si="4"/>
        <v>0</v>
      </c>
      <c r="P126" s="453">
        <f t="shared" si="5"/>
        <v>0</v>
      </c>
      <c r="Q126" s="414"/>
    </row>
    <row r="127" spans="3:17">
      <c r="C127" s="449" t="str">
        <f>IF(D96="","-",+C126+1)</f>
        <v>-</v>
      </c>
      <c r="D127" s="412">
        <f t="shared" si="6"/>
        <v>0</v>
      </c>
      <c r="E127" s="456">
        <f t="shared" si="7"/>
        <v>0</v>
      </c>
      <c r="F127" s="456">
        <f t="shared" si="0"/>
        <v>0</v>
      </c>
      <c r="G127" s="412">
        <f t="shared" si="1"/>
        <v>0</v>
      </c>
      <c r="H127" s="450">
        <f>+J97*G127+E127</f>
        <v>0</v>
      </c>
      <c r="I127" s="457">
        <f>+J98*G127+E127</f>
        <v>0</v>
      </c>
      <c r="J127" s="453">
        <f t="shared" si="2"/>
        <v>0</v>
      </c>
      <c r="K127" s="453"/>
      <c r="L127" s="458"/>
      <c r="M127" s="453">
        <f t="shared" si="3"/>
        <v>0</v>
      </c>
      <c r="N127" s="458"/>
      <c r="O127" s="453">
        <f t="shared" si="4"/>
        <v>0</v>
      </c>
      <c r="P127" s="453">
        <f t="shared" si="5"/>
        <v>0</v>
      </c>
      <c r="Q127" s="414"/>
    </row>
    <row r="128" spans="3:17">
      <c r="C128" s="449" t="str">
        <f>IF(D96="","-",+C127+1)</f>
        <v>-</v>
      </c>
      <c r="D128" s="412">
        <f t="shared" si="6"/>
        <v>0</v>
      </c>
      <c r="E128" s="456">
        <f t="shared" si="7"/>
        <v>0</v>
      </c>
      <c r="F128" s="456">
        <f t="shared" si="0"/>
        <v>0</v>
      </c>
      <c r="G128" s="412">
        <f t="shared" si="1"/>
        <v>0</v>
      </c>
      <c r="H128" s="450">
        <f>+J97*G128+E128</f>
        <v>0</v>
      </c>
      <c r="I128" s="457">
        <f>+J98*G128+E128</f>
        <v>0</v>
      </c>
      <c r="J128" s="453">
        <f t="shared" si="2"/>
        <v>0</v>
      </c>
      <c r="K128" s="453"/>
      <c r="L128" s="458"/>
      <c r="M128" s="453">
        <f t="shared" si="3"/>
        <v>0</v>
      </c>
      <c r="N128" s="458"/>
      <c r="O128" s="453">
        <f t="shared" si="4"/>
        <v>0</v>
      </c>
      <c r="P128" s="453">
        <f t="shared" si="5"/>
        <v>0</v>
      </c>
      <c r="Q128" s="414"/>
    </row>
    <row r="129" spans="3:17">
      <c r="C129" s="449" t="str">
        <f>IF(D96="","-",+C128+1)</f>
        <v>-</v>
      </c>
      <c r="D129" s="412">
        <f t="shared" si="6"/>
        <v>0</v>
      </c>
      <c r="E129" s="456">
        <f t="shared" si="7"/>
        <v>0</v>
      </c>
      <c r="F129" s="456">
        <f t="shared" si="0"/>
        <v>0</v>
      </c>
      <c r="G129" s="412">
        <f t="shared" si="1"/>
        <v>0</v>
      </c>
      <c r="H129" s="450">
        <f>+J97*G129+E129</f>
        <v>0</v>
      </c>
      <c r="I129" s="457">
        <f>+J98*G129+E129</f>
        <v>0</v>
      </c>
      <c r="J129" s="453">
        <f t="shared" si="2"/>
        <v>0</v>
      </c>
      <c r="K129" s="453"/>
      <c r="L129" s="458"/>
      <c r="M129" s="453">
        <f t="shared" si="3"/>
        <v>0</v>
      </c>
      <c r="N129" s="458"/>
      <c r="O129" s="453">
        <f t="shared" si="4"/>
        <v>0</v>
      </c>
      <c r="P129" s="453">
        <f t="shared" si="5"/>
        <v>0</v>
      </c>
      <c r="Q129" s="414"/>
    </row>
    <row r="130" spans="3:17">
      <c r="C130" s="449" t="str">
        <f>IF(D96="","-",+C129+1)</f>
        <v>-</v>
      </c>
      <c r="D130" s="412">
        <f t="shared" si="6"/>
        <v>0</v>
      </c>
      <c r="E130" s="456">
        <f t="shared" si="7"/>
        <v>0</v>
      </c>
      <c r="F130" s="456">
        <f t="shared" si="0"/>
        <v>0</v>
      </c>
      <c r="G130" s="412">
        <f t="shared" si="1"/>
        <v>0</v>
      </c>
      <c r="H130" s="450">
        <f>+J97*G130+E130</f>
        <v>0</v>
      </c>
      <c r="I130" s="457">
        <f>+J98*G130+E130</f>
        <v>0</v>
      </c>
      <c r="J130" s="453">
        <f t="shared" si="2"/>
        <v>0</v>
      </c>
      <c r="K130" s="453"/>
      <c r="L130" s="458"/>
      <c r="M130" s="453">
        <f t="shared" si="3"/>
        <v>0</v>
      </c>
      <c r="N130" s="458"/>
      <c r="O130" s="453">
        <f t="shared" si="4"/>
        <v>0</v>
      </c>
      <c r="P130" s="453">
        <f t="shared" si="5"/>
        <v>0</v>
      </c>
      <c r="Q130" s="414"/>
    </row>
    <row r="131" spans="3:17">
      <c r="C131" s="449" t="str">
        <f>IF(D96="","-",+C130+1)</f>
        <v>-</v>
      </c>
      <c r="D131" s="412">
        <f t="shared" si="6"/>
        <v>0</v>
      </c>
      <c r="E131" s="456">
        <f t="shared" si="7"/>
        <v>0</v>
      </c>
      <c r="F131" s="456">
        <f t="shared" si="0"/>
        <v>0</v>
      </c>
      <c r="G131" s="412">
        <f t="shared" si="1"/>
        <v>0</v>
      </c>
      <c r="H131" s="450">
        <f>+J97*G131+E131</f>
        <v>0</v>
      </c>
      <c r="I131" s="457">
        <f>+J98*G131+E131</f>
        <v>0</v>
      </c>
      <c r="J131" s="453">
        <f t="shared" si="2"/>
        <v>0</v>
      </c>
      <c r="K131" s="453"/>
      <c r="L131" s="458"/>
      <c r="M131" s="453">
        <f t="shared" si="3"/>
        <v>0</v>
      </c>
      <c r="N131" s="458"/>
      <c r="O131" s="453">
        <f t="shared" si="4"/>
        <v>0</v>
      </c>
      <c r="P131" s="453">
        <f t="shared" si="5"/>
        <v>0</v>
      </c>
      <c r="Q131" s="414"/>
    </row>
    <row r="132" spans="3:17">
      <c r="C132" s="449" t="str">
        <f>IF(D96="","-",+C131+1)</f>
        <v>-</v>
      </c>
      <c r="D132" s="412">
        <f t="shared" si="6"/>
        <v>0</v>
      </c>
      <c r="E132" s="456">
        <f t="shared" si="7"/>
        <v>0</v>
      </c>
      <c r="F132" s="456">
        <f t="shared" si="0"/>
        <v>0</v>
      </c>
      <c r="G132" s="412">
        <f t="shared" si="1"/>
        <v>0</v>
      </c>
      <c r="H132" s="450">
        <f>+J97*G132+E132</f>
        <v>0</v>
      </c>
      <c r="I132" s="457">
        <f>+J98*G132+E132</f>
        <v>0</v>
      </c>
      <c r="J132" s="453">
        <f t="shared" si="2"/>
        <v>0</v>
      </c>
      <c r="K132" s="453"/>
      <c r="L132" s="458"/>
      <c r="M132" s="453">
        <f t="shared" si="3"/>
        <v>0</v>
      </c>
      <c r="N132" s="458"/>
      <c r="O132" s="453">
        <f t="shared" si="4"/>
        <v>0</v>
      </c>
      <c r="P132" s="453">
        <f t="shared" si="5"/>
        <v>0</v>
      </c>
      <c r="Q132" s="414"/>
    </row>
    <row r="133" spans="3:17">
      <c r="C133" s="449" t="str">
        <f>IF(D96="","-",+C132+1)</f>
        <v>-</v>
      </c>
      <c r="D133" s="412">
        <f t="shared" si="6"/>
        <v>0</v>
      </c>
      <c r="E133" s="456">
        <f t="shared" si="7"/>
        <v>0</v>
      </c>
      <c r="F133" s="456">
        <f t="shared" si="0"/>
        <v>0</v>
      </c>
      <c r="G133" s="412">
        <f t="shared" si="1"/>
        <v>0</v>
      </c>
      <c r="H133" s="450">
        <f>+J97*G133+E133</f>
        <v>0</v>
      </c>
      <c r="I133" s="457">
        <f>+J98*G133+E133</f>
        <v>0</v>
      </c>
      <c r="J133" s="453">
        <f t="shared" si="2"/>
        <v>0</v>
      </c>
      <c r="K133" s="453"/>
      <c r="L133" s="458"/>
      <c r="M133" s="453">
        <f t="shared" si="3"/>
        <v>0</v>
      </c>
      <c r="N133" s="458"/>
      <c r="O133" s="453">
        <f t="shared" si="4"/>
        <v>0</v>
      </c>
      <c r="P133" s="453">
        <f t="shared" si="5"/>
        <v>0</v>
      </c>
      <c r="Q133" s="414"/>
    </row>
    <row r="134" spans="3:17">
      <c r="C134" s="449" t="str">
        <f>IF(D96="","-",+C133+1)</f>
        <v>-</v>
      </c>
      <c r="D134" s="412">
        <f t="shared" si="6"/>
        <v>0</v>
      </c>
      <c r="E134" s="456">
        <f t="shared" si="7"/>
        <v>0</v>
      </c>
      <c r="F134" s="456">
        <f t="shared" ref="F134:F161" si="8">+D134-E134</f>
        <v>0</v>
      </c>
      <c r="G134" s="412">
        <f t="shared" ref="G134:G161" si="9">+(D134+F134)/2</f>
        <v>0</v>
      </c>
      <c r="H134" s="450">
        <f>+J97*G134+E134</f>
        <v>0</v>
      </c>
      <c r="I134" s="457">
        <f>+J98*G134+E134</f>
        <v>0</v>
      </c>
      <c r="J134" s="453">
        <f t="shared" ref="J134:J161" si="10">+I134-H134</f>
        <v>0</v>
      </c>
      <c r="K134" s="453"/>
      <c r="L134" s="458"/>
      <c r="M134" s="453">
        <f t="shared" ref="M134:M161" si="11">IF(L134&lt;&gt;0,+H134-L134,0)</f>
        <v>0</v>
      </c>
      <c r="N134" s="458"/>
      <c r="O134" s="453">
        <f t="shared" ref="O134:O161" si="12">IF(N134&lt;&gt;0,+I134-N134,0)</f>
        <v>0</v>
      </c>
      <c r="P134" s="453">
        <f t="shared" ref="P134:P161" si="13">+O134-M134</f>
        <v>0</v>
      </c>
      <c r="Q134" s="414"/>
    </row>
    <row r="135" spans="3:17">
      <c r="C135" s="449" t="str">
        <f>IF(D96="","-",+C134+1)</f>
        <v>-</v>
      </c>
      <c r="D135" s="412">
        <f t="shared" ref="D135:D161" si="14">F134</f>
        <v>0</v>
      </c>
      <c r="E135" s="456">
        <f t="shared" ref="E135:E161" si="15">IF(D135&gt;$J$99,$J$99,D135)</f>
        <v>0</v>
      </c>
      <c r="F135" s="456">
        <f t="shared" si="8"/>
        <v>0</v>
      </c>
      <c r="G135" s="412">
        <f t="shared" si="9"/>
        <v>0</v>
      </c>
      <c r="H135" s="450">
        <f>+J97*G135+E135</f>
        <v>0</v>
      </c>
      <c r="I135" s="457">
        <f>+J98*G135+E135</f>
        <v>0</v>
      </c>
      <c r="J135" s="453">
        <f t="shared" si="10"/>
        <v>0</v>
      </c>
      <c r="K135" s="453"/>
      <c r="L135" s="458"/>
      <c r="M135" s="453">
        <f t="shared" si="11"/>
        <v>0</v>
      </c>
      <c r="N135" s="458"/>
      <c r="O135" s="453">
        <f t="shared" si="12"/>
        <v>0</v>
      </c>
      <c r="P135" s="453">
        <f t="shared" si="13"/>
        <v>0</v>
      </c>
      <c r="Q135" s="414"/>
    </row>
    <row r="136" spans="3:17">
      <c r="C136" s="449" t="str">
        <f>IF(D96="","-",+C135+1)</f>
        <v>-</v>
      </c>
      <c r="D136" s="412">
        <f t="shared" si="14"/>
        <v>0</v>
      </c>
      <c r="E136" s="456">
        <f t="shared" si="15"/>
        <v>0</v>
      </c>
      <c r="F136" s="456">
        <f t="shared" si="8"/>
        <v>0</v>
      </c>
      <c r="G136" s="412">
        <f t="shared" si="9"/>
        <v>0</v>
      </c>
      <c r="H136" s="450">
        <f>+J97*G136+E136</f>
        <v>0</v>
      </c>
      <c r="I136" s="457">
        <f>+J98*G136+E136</f>
        <v>0</v>
      </c>
      <c r="J136" s="453">
        <f t="shared" si="10"/>
        <v>0</v>
      </c>
      <c r="K136" s="453"/>
      <c r="L136" s="458"/>
      <c r="M136" s="453">
        <f t="shared" si="11"/>
        <v>0</v>
      </c>
      <c r="N136" s="458"/>
      <c r="O136" s="453">
        <f t="shared" si="12"/>
        <v>0</v>
      </c>
      <c r="P136" s="453">
        <f t="shared" si="13"/>
        <v>0</v>
      </c>
      <c r="Q136" s="414"/>
    </row>
    <row r="137" spans="3:17">
      <c r="C137" s="449" t="str">
        <f>IF(D96="","-",+C136+1)</f>
        <v>-</v>
      </c>
      <c r="D137" s="412">
        <f t="shared" si="14"/>
        <v>0</v>
      </c>
      <c r="E137" s="456">
        <f t="shared" si="15"/>
        <v>0</v>
      </c>
      <c r="F137" s="456">
        <f t="shared" si="8"/>
        <v>0</v>
      </c>
      <c r="G137" s="412">
        <f t="shared" si="9"/>
        <v>0</v>
      </c>
      <c r="H137" s="450">
        <f>+J97*G137+E137</f>
        <v>0</v>
      </c>
      <c r="I137" s="457">
        <f>+J98*G137+E137</f>
        <v>0</v>
      </c>
      <c r="J137" s="453">
        <f t="shared" si="10"/>
        <v>0</v>
      </c>
      <c r="K137" s="453"/>
      <c r="L137" s="458"/>
      <c r="M137" s="453">
        <f t="shared" si="11"/>
        <v>0</v>
      </c>
      <c r="N137" s="458"/>
      <c r="O137" s="453">
        <f t="shared" si="12"/>
        <v>0</v>
      </c>
      <c r="P137" s="453">
        <f t="shared" si="13"/>
        <v>0</v>
      </c>
      <c r="Q137" s="414"/>
    </row>
    <row r="138" spans="3:17">
      <c r="C138" s="449" t="str">
        <f>IF(D96="","-",+C137+1)</f>
        <v>-</v>
      </c>
      <c r="D138" s="412">
        <f t="shared" si="14"/>
        <v>0</v>
      </c>
      <c r="E138" s="456">
        <f t="shared" si="15"/>
        <v>0</v>
      </c>
      <c r="F138" s="456">
        <f t="shared" si="8"/>
        <v>0</v>
      </c>
      <c r="G138" s="412">
        <f t="shared" si="9"/>
        <v>0</v>
      </c>
      <c r="H138" s="450">
        <f>+J97*G138+E138</f>
        <v>0</v>
      </c>
      <c r="I138" s="457">
        <f>+J98*G138+E138</f>
        <v>0</v>
      </c>
      <c r="J138" s="453">
        <f t="shared" si="10"/>
        <v>0</v>
      </c>
      <c r="K138" s="453"/>
      <c r="L138" s="458"/>
      <c r="M138" s="453">
        <f t="shared" si="11"/>
        <v>0</v>
      </c>
      <c r="N138" s="458"/>
      <c r="O138" s="453">
        <f t="shared" si="12"/>
        <v>0</v>
      </c>
      <c r="P138" s="453">
        <f t="shared" si="13"/>
        <v>0</v>
      </c>
      <c r="Q138" s="414"/>
    </row>
    <row r="139" spans="3:17">
      <c r="C139" s="449" t="str">
        <f>IF(D96="","-",+C138+1)</f>
        <v>-</v>
      </c>
      <c r="D139" s="412">
        <f t="shared" si="14"/>
        <v>0</v>
      </c>
      <c r="E139" s="456">
        <f t="shared" si="15"/>
        <v>0</v>
      </c>
      <c r="F139" s="456">
        <f t="shared" si="8"/>
        <v>0</v>
      </c>
      <c r="G139" s="412">
        <f t="shared" si="9"/>
        <v>0</v>
      </c>
      <c r="H139" s="450">
        <f>+J97*G139+E139</f>
        <v>0</v>
      </c>
      <c r="I139" s="457">
        <f>+J98*G139+E139</f>
        <v>0</v>
      </c>
      <c r="J139" s="453">
        <f t="shared" si="10"/>
        <v>0</v>
      </c>
      <c r="K139" s="453"/>
      <c r="L139" s="458"/>
      <c r="M139" s="453">
        <f t="shared" si="11"/>
        <v>0</v>
      </c>
      <c r="N139" s="458"/>
      <c r="O139" s="453">
        <f t="shared" si="12"/>
        <v>0</v>
      </c>
      <c r="P139" s="453">
        <f t="shared" si="13"/>
        <v>0</v>
      </c>
      <c r="Q139" s="414"/>
    </row>
    <row r="140" spans="3:17">
      <c r="C140" s="449" t="str">
        <f>IF(D96="","-",+C139+1)</f>
        <v>-</v>
      </c>
      <c r="D140" s="412">
        <f t="shared" si="14"/>
        <v>0</v>
      </c>
      <c r="E140" s="456">
        <f t="shared" si="15"/>
        <v>0</v>
      </c>
      <c r="F140" s="456">
        <f t="shared" si="8"/>
        <v>0</v>
      </c>
      <c r="G140" s="412">
        <f t="shared" si="9"/>
        <v>0</v>
      </c>
      <c r="H140" s="450">
        <f>+J97*G140+E140</f>
        <v>0</v>
      </c>
      <c r="I140" s="457">
        <f>+J98*G140+E140</f>
        <v>0</v>
      </c>
      <c r="J140" s="453">
        <f t="shared" si="10"/>
        <v>0</v>
      </c>
      <c r="K140" s="453"/>
      <c r="L140" s="458"/>
      <c r="M140" s="453">
        <f t="shared" si="11"/>
        <v>0</v>
      </c>
      <c r="N140" s="458"/>
      <c r="O140" s="453">
        <f t="shared" si="12"/>
        <v>0</v>
      </c>
      <c r="P140" s="453">
        <f t="shared" si="13"/>
        <v>0</v>
      </c>
      <c r="Q140" s="414"/>
    </row>
    <row r="141" spans="3:17">
      <c r="C141" s="449" t="str">
        <f>IF(D96="","-",+C140+1)</f>
        <v>-</v>
      </c>
      <c r="D141" s="412">
        <f t="shared" si="14"/>
        <v>0</v>
      </c>
      <c r="E141" s="456">
        <f t="shared" si="15"/>
        <v>0</v>
      </c>
      <c r="F141" s="456">
        <f t="shared" si="8"/>
        <v>0</v>
      </c>
      <c r="G141" s="412">
        <f t="shared" si="9"/>
        <v>0</v>
      </c>
      <c r="H141" s="450">
        <f>+J97*G141+E141</f>
        <v>0</v>
      </c>
      <c r="I141" s="457">
        <f>+J98*G141+E141</f>
        <v>0</v>
      </c>
      <c r="J141" s="453">
        <f t="shared" si="10"/>
        <v>0</v>
      </c>
      <c r="K141" s="453"/>
      <c r="L141" s="458"/>
      <c r="M141" s="453">
        <f t="shared" si="11"/>
        <v>0</v>
      </c>
      <c r="N141" s="458"/>
      <c r="O141" s="453">
        <f t="shared" si="12"/>
        <v>0</v>
      </c>
      <c r="P141" s="453">
        <f t="shared" si="13"/>
        <v>0</v>
      </c>
      <c r="Q141" s="414"/>
    </row>
    <row r="142" spans="3:17">
      <c r="C142" s="449" t="str">
        <f>IF(D96="","-",+C141+1)</f>
        <v>-</v>
      </c>
      <c r="D142" s="412">
        <f t="shared" si="14"/>
        <v>0</v>
      </c>
      <c r="E142" s="456">
        <f t="shared" si="15"/>
        <v>0</v>
      </c>
      <c r="F142" s="456">
        <f t="shared" si="8"/>
        <v>0</v>
      </c>
      <c r="G142" s="412">
        <f t="shared" si="9"/>
        <v>0</v>
      </c>
      <c r="H142" s="450">
        <f>+J97*G142+E142</f>
        <v>0</v>
      </c>
      <c r="I142" s="457">
        <f>+J98*G142+E142</f>
        <v>0</v>
      </c>
      <c r="J142" s="453">
        <f t="shared" si="10"/>
        <v>0</v>
      </c>
      <c r="K142" s="453"/>
      <c r="L142" s="458"/>
      <c r="M142" s="453">
        <f t="shared" si="11"/>
        <v>0</v>
      </c>
      <c r="N142" s="458"/>
      <c r="O142" s="453">
        <f t="shared" si="12"/>
        <v>0</v>
      </c>
      <c r="P142" s="453">
        <f t="shared" si="13"/>
        <v>0</v>
      </c>
      <c r="Q142" s="414"/>
    </row>
    <row r="143" spans="3:17">
      <c r="C143" s="449" t="str">
        <f>IF(D96="","-",+C142+1)</f>
        <v>-</v>
      </c>
      <c r="D143" s="412">
        <f t="shared" si="14"/>
        <v>0</v>
      </c>
      <c r="E143" s="456">
        <f t="shared" si="15"/>
        <v>0</v>
      </c>
      <c r="F143" s="456">
        <f t="shared" si="8"/>
        <v>0</v>
      </c>
      <c r="G143" s="412">
        <f t="shared" si="9"/>
        <v>0</v>
      </c>
      <c r="H143" s="450">
        <f>+J97*G143+E143</f>
        <v>0</v>
      </c>
      <c r="I143" s="457">
        <f>+J98*G143+E143</f>
        <v>0</v>
      </c>
      <c r="J143" s="453">
        <f t="shared" si="10"/>
        <v>0</v>
      </c>
      <c r="K143" s="453"/>
      <c r="L143" s="458"/>
      <c r="M143" s="453">
        <f t="shared" si="11"/>
        <v>0</v>
      </c>
      <c r="N143" s="458"/>
      <c r="O143" s="453">
        <f t="shared" si="12"/>
        <v>0</v>
      </c>
      <c r="P143" s="453">
        <f t="shared" si="13"/>
        <v>0</v>
      </c>
      <c r="Q143" s="414"/>
    </row>
    <row r="144" spans="3:17">
      <c r="C144" s="449" t="str">
        <f>IF(D96="","-",+C143+1)</f>
        <v>-</v>
      </c>
      <c r="D144" s="412">
        <f t="shared" si="14"/>
        <v>0</v>
      </c>
      <c r="E144" s="456">
        <f t="shared" si="15"/>
        <v>0</v>
      </c>
      <c r="F144" s="456">
        <f t="shared" si="8"/>
        <v>0</v>
      </c>
      <c r="G144" s="412">
        <f t="shared" si="9"/>
        <v>0</v>
      </c>
      <c r="H144" s="450">
        <f>+J97*G144+E144</f>
        <v>0</v>
      </c>
      <c r="I144" s="457">
        <f>+J98*G144+E144</f>
        <v>0</v>
      </c>
      <c r="J144" s="453">
        <f t="shared" si="10"/>
        <v>0</v>
      </c>
      <c r="K144" s="453"/>
      <c r="L144" s="458"/>
      <c r="M144" s="453">
        <f t="shared" si="11"/>
        <v>0</v>
      </c>
      <c r="N144" s="458"/>
      <c r="O144" s="453">
        <f t="shared" si="12"/>
        <v>0</v>
      </c>
      <c r="P144" s="453">
        <f t="shared" si="13"/>
        <v>0</v>
      </c>
      <c r="Q144" s="414"/>
    </row>
    <row r="145" spans="3:17">
      <c r="C145" s="449" t="str">
        <f>IF(D96="","-",+C144+1)</f>
        <v>-</v>
      </c>
      <c r="D145" s="412">
        <f t="shared" si="14"/>
        <v>0</v>
      </c>
      <c r="E145" s="456">
        <f t="shared" si="15"/>
        <v>0</v>
      </c>
      <c r="F145" s="456">
        <f t="shared" si="8"/>
        <v>0</v>
      </c>
      <c r="G145" s="412">
        <f t="shared" si="9"/>
        <v>0</v>
      </c>
      <c r="H145" s="450">
        <f>+J97*G145+E145</f>
        <v>0</v>
      </c>
      <c r="I145" s="457">
        <f>+J98*G145+E145</f>
        <v>0</v>
      </c>
      <c r="J145" s="453">
        <f t="shared" si="10"/>
        <v>0</v>
      </c>
      <c r="K145" s="453"/>
      <c r="L145" s="458"/>
      <c r="M145" s="453">
        <f t="shared" si="11"/>
        <v>0</v>
      </c>
      <c r="N145" s="458"/>
      <c r="O145" s="453">
        <f t="shared" si="12"/>
        <v>0</v>
      </c>
      <c r="P145" s="453">
        <f t="shared" si="13"/>
        <v>0</v>
      </c>
      <c r="Q145" s="414"/>
    </row>
    <row r="146" spans="3:17">
      <c r="C146" s="449" t="str">
        <f>IF(D96="","-",+C145+1)</f>
        <v>-</v>
      </c>
      <c r="D146" s="412">
        <f t="shared" si="14"/>
        <v>0</v>
      </c>
      <c r="E146" s="456">
        <f t="shared" si="15"/>
        <v>0</v>
      </c>
      <c r="F146" s="456">
        <f t="shared" si="8"/>
        <v>0</v>
      </c>
      <c r="G146" s="412">
        <f t="shared" si="9"/>
        <v>0</v>
      </c>
      <c r="H146" s="450">
        <f>+J97*G146+E146</f>
        <v>0</v>
      </c>
      <c r="I146" s="457">
        <f>+J98*G146+E146</f>
        <v>0</v>
      </c>
      <c r="J146" s="453">
        <f t="shared" si="10"/>
        <v>0</v>
      </c>
      <c r="K146" s="453"/>
      <c r="L146" s="458"/>
      <c r="M146" s="453">
        <f t="shared" si="11"/>
        <v>0</v>
      </c>
      <c r="N146" s="458"/>
      <c r="O146" s="453">
        <f t="shared" si="12"/>
        <v>0</v>
      </c>
      <c r="P146" s="453">
        <f t="shared" si="13"/>
        <v>0</v>
      </c>
      <c r="Q146" s="414"/>
    </row>
    <row r="147" spans="3:17">
      <c r="C147" s="449" t="str">
        <f>IF(D96="","-",+C146+1)</f>
        <v>-</v>
      </c>
      <c r="D147" s="412">
        <f t="shared" si="14"/>
        <v>0</v>
      </c>
      <c r="E147" s="456">
        <f t="shared" si="15"/>
        <v>0</v>
      </c>
      <c r="F147" s="456">
        <f t="shared" si="8"/>
        <v>0</v>
      </c>
      <c r="G147" s="412">
        <f t="shared" si="9"/>
        <v>0</v>
      </c>
      <c r="H147" s="450">
        <f>+J97*G147+E147</f>
        <v>0</v>
      </c>
      <c r="I147" s="457">
        <f>+J98*G147+E147</f>
        <v>0</v>
      </c>
      <c r="J147" s="453">
        <f t="shared" si="10"/>
        <v>0</v>
      </c>
      <c r="K147" s="453"/>
      <c r="L147" s="458"/>
      <c r="M147" s="453">
        <f t="shared" si="11"/>
        <v>0</v>
      </c>
      <c r="N147" s="458"/>
      <c r="O147" s="453">
        <f t="shared" si="12"/>
        <v>0</v>
      </c>
      <c r="P147" s="453">
        <f t="shared" si="13"/>
        <v>0</v>
      </c>
      <c r="Q147" s="414"/>
    </row>
    <row r="148" spans="3:17">
      <c r="C148" s="449" t="str">
        <f>IF(D96="","-",+C147+1)</f>
        <v>-</v>
      </c>
      <c r="D148" s="412">
        <f t="shared" si="14"/>
        <v>0</v>
      </c>
      <c r="E148" s="456">
        <f t="shared" si="15"/>
        <v>0</v>
      </c>
      <c r="F148" s="456">
        <f t="shared" si="8"/>
        <v>0</v>
      </c>
      <c r="G148" s="412">
        <f t="shared" si="9"/>
        <v>0</v>
      </c>
      <c r="H148" s="450">
        <f>+J97*G148+E148</f>
        <v>0</v>
      </c>
      <c r="I148" s="457">
        <f>+J98*G148+E148</f>
        <v>0</v>
      </c>
      <c r="J148" s="453">
        <f t="shared" si="10"/>
        <v>0</v>
      </c>
      <c r="K148" s="453"/>
      <c r="L148" s="458"/>
      <c r="M148" s="453">
        <f t="shared" si="11"/>
        <v>0</v>
      </c>
      <c r="N148" s="458"/>
      <c r="O148" s="453">
        <f t="shared" si="12"/>
        <v>0</v>
      </c>
      <c r="P148" s="453">
        <f t="shared" si="13"/>
        <v>0</v>
      </c>
      <c r="Q148" s="414"/>
    </row>
    <row r="149" spans="3:17">
      <c r="C149" s="449" t="str">
        <f>IF(D96="","-",+C148+1)</f>
        <v>-</v>
      </c>
      <c r="D149" s="412">
        <f t="shared" si="14"/>
        <v>0</v>
      </c>
      <c r="E149" s="456">
        <f t="shared" si="15"/>
        <v>0</v>
      </c>
      <c r="F149" s="456">
        <f t="shared" si="8"/>
        <v>0</v>
      </c>
      <c r="G149" s="412">
        <f t="shared" si="9"/>
        <v>0</v>
      </c>
      <c r="H149" s="450">
        <f>+J97*G149+E149</f>
        <v>0</v>
      </c>
      <c r="I149" s="457">
        <f>+J98*G149+E149</f>
        <v>0</v>
      </c>
      <c r="J149" s="453">
        <f t="shared" si="10"/>
        <v>0</v>
      </c>
      <c r="K149" s="453"/>
      <c r="L149" s="458"/>
      <c r="M149" s="453">
        <f t="shared" si="11"/>
        <v>0</v>
      </c>
      <c r="N149" s="458"/>
      <c r="O149" s="453">
        <f t="shared" si="12"/>
        <v>0</v>
      </c>
      <c r="P149" s="453">
        <f t="shared" si="13"/>
        <v>0</v>
      </c>
      <c r="Q149" s="414"/>
    </row>
    <row r="150" spans="3:17">
      <c r="C150" s="449" t="str">
        <f>IF(D96="","-",+C149+1)</f>
        <v>-</v>
      </c>
      <c r="D150" s="412">
        <f t="shared" si="14"/>
        <v>0</v>
      </c>
      <c r="E150" s="456">
        <f t="shared" si="15"/>
        <v>0</v>
      </c>
      <c r="F150" s="456">
        <f t="shared" si="8"/>
        <v>0</v>
      </c>
      <c r="G150" s="412">
        <f t="shared" si="9"/>
        <v>0</v>
      </c>
      <c r="H150" s="450">
        <f>+J97*G150+E150</f>
        <v>0</v>
      </c>
      <c r="I150" s="457">
        <f>+J98*G150+E150</f>
        <v>0</v>
      </c>
      <c r="J150" s="453">
        <f t="shared" si="10"/>
        <v>0</v>
      </c>
      <c r="K150" s="453"/>
      <c r="L150" s="458"/>
      <c r="M150" s="453">
        <f t="shared" si="11"/>
        <v>0</v>
      </c>
      <c r="N150" s="458"/>
      <c r="O150" s="453">
        <f t="shared" si="12"/>
        <v>0</v>
      </c>
      <c r="P150" s="453">
        <f t="shared" si="13"/>
        <v>0</v>
      </c>
      <c r="Q150" s="414"/>
    </row>
    <row r="151" spans="3:17">
      <c r="C151" s="449" t="str">
        <f>IF(D96="","-",+C150+1)</f>
        <v>-</v>
      </c>
      <c r="D151" s="412">
        <f t="shared" si="14"/>
        <v>0</v>
      </c>
      <c r="E151" s="456">
        <f t="shared" si="15"/>
        <v>0</v>
      </c>
      <c r="F151" s="456">
        <f t="shared" si="8"/>
        <v>0</v>
      </c>
      <c r="G151" s="412">
        <f t="shared" si="9"/>
        <v>0</v>
      </c>
      <c r="H151" s="450">
        <f>+J97*G151+E151</f>
        <v>0</v>
      </c>
      <c r="I151" s="457">
        <f>+J98*G151+E151</f>
        <v>0</v>
      </c>
      <c r="J151" s="453">
        <f t="shared" si="10"/>
        <v>0</v>
      </c>
      <c r="K151" s="453"/>
      <c r="L151" s="458"/>
      <c r="M151" s="453">
        <f t="shared" si="11"/>
        <v>0</v>
      </c>
      <c r="N151" s="458"/>
      <c r="O151" s="453">
        <f t="shared" si="12"/>
        <v>0</v>
      </c>
      <c r="P151" s="453">
        <f t="shared" si="13"/>
        <v>0</v>
      </c>
      <c r="Q151" s="414"/>
    </row>
    <row r="152" spans="3:17">
      <c r="C152" s="449" t="str">
        <f>IF(D96="","-",+C151+1)</f>
        <v>-</v>
      </c>
      <c r="D152" s="412">
        <f t="shared" si="14"/>
        <v>0</v>
      </c>
      <c r="E152" s="456">
        <f t="shared" si="15"/>
        <v>0</v>
      </c>
      <c r="F152" s="456">
        <f t="shared" si="8"/>
        <v>0</v>
      </c>
      <c r="G152" s="412">
        <f t="shared" si="9"/>
        <v>0</v>
      </c>
      <c r="H152" s="450">
        <f>+J97*G152+E152</f>
        <v>0</v>
      </c>
      <c r="I152" s="457">
        <f>+J98*G152+E152</f>
        <v>0</v>
      </c>
      <c r="J152" s="453">
        <f t="shared" si="10"/>
        <v>0</v>
      </c>
      <c r="K152" s="453"/>
      <c r="L152" s="458"/>
      <c r="M152" s="453">
        <f t="shared" si="11"/>
        <v>0</v>
      </c>
      <c r="N152" s="458"/>
      <c r="O152" s="453">
        <f t="shared" si="12"/>
        <v>0</v>
      </c>
      <c r="P152" s="453">
        <f t="shared" si="13"/>
        <v>0</v>
      </c>
      <c r="Q152" s="414"/>
    </row>
    <row r="153" spans="3:17">
      <c r="C153" s="449" t="str">
        <f>IF(D96="","-",+C152+1)</f>
        <v>-</v>
      </c>
      <c r="D153" s="412">
        <f t="shared" si="14"/>
        <v>0</v>
      </c>
      <c r="E153" s="456">
        <f t="shared" si="15"/>
        <v>0</v>
      </c>
      <c r="F153" s="456">
        <f t="shared" si="8"/>
        <v>0</v>
      </c>
      <c r="G153" s="412">
        <f t="shared" si="9"/>
        <v>0</v>
      </c>
      <c r="H153" s="450">
        <f>+J97*G153+E153</f>
        <v>0</v>
      </c>
      <c r="I153" s="457">
        <f>+J98*G153+E153</f>
        <v>0</v>
      </c>
      <c r="J153" s="453">
        <f t="shared" si="10"/>
        <v>0</v>
      </c>
      <c r="K153" s="453"/>
      <c r="L153" s="458"/>
      <c r="M153" s="453">
        <f t="shared" si="11"/>
        <v>0</v>
      </c>
      <c r="N153" s="458"/>
      <c r="O153" s="453">
        <f t="shared" si="12"/>
        <v>0</v>
      </c>
      <c r="P153" s="453">
        <f t="shared" si="13"/>
        <v>0</v>
      </c>
      <c r="Q153" s="414"/>
    </row>
    <row r="154" spans="3:17">
      <c r="C154" s="449" t="str">
        <f>IF(D96="","-",+C153+1)</f>
        <v>-</v>
      </c>
      <c r="D154" s="412">
        <f t="shared" si="14"/>
        <v>0</v>
      </c>
      <c r="E154" s="456">
        <f t="shared" si="15"/>
        <v>0</v>
      </c>
      <c r="F154" s="456">
        <f t="shared" si="8"/>
        <v>0</v>
      </c>
      <c r="G154" s="412">
        <f t="shared" si="9"/>
        <v>0</v>
      </c>
      <c r="H154" s="450">
        <f>+J97*G154+E154</f>
        <v>0</v>
      </c>
      <c r="I154" s="457">
        <f>+J98*G154+E154</f>
        <v>0</v>
      </c>
      <c r="J154" s="453">
        <f t="shared" si="10"/>
        <v>0</v>
      </c>
      <c r="K154" s="453"/>
      <c r="L154" s="458"/>
      <c r="M154" s="453">
        <f t="shared" si="11"/>
        <v>0</v>
      </c>
      <c r="N154" s="458"/>
      <c r="O154" s="453">
        <f t="shared" si="12"/>
        <v>0</v>
      </c>
      <c r="P154" s="453">
        <f t="shared" si="13"/>
        <v>0</v>
      </c>
      <c r="Q154" s="414"/>
    </row>
    <row r="155" spans="3:17">
      <c r="C155" s="449" t="str">
        <f>IF(D96="","-",+C154+1)</f>
        <v>-</v>
      </c>
      <c r="D155" s="412">
        <f t="shared" si="14"/>
        <v>0</v>
      </c>
      <c r="E155" s="456">
        <f t="shared" si="15"/>
        <v>0</v>
      </c>
      <c r="F155" s="456">
        <f t="shared" si="8"/>
        <v>0</v>
      </c>
      <c r="G155" s="412">
        <f t="shared" si="9"/>
        <v>0</v>
      </c>
      <c r="H155" s="450">
        <f>+J97*G155+E155</f>
        <v>0</v>
      </c>
      <c r="I155" s="457">
        <f>+J98*G155+E155</f>
        <v>0</v>
      </c>
      <c r="J155" s="453">
        <f t="shared" si="10"/>
        <v>0</v>
      </c>
      <c r="K155" s="453"/>
      <c r="L155" s="458"/>
      <c r="M155" s="453">
        <f t="shared" si="11"/>
        <v>0</v>
      </c>
      <c r="N155" s="458"/>
      <c r="O155" s="453">
        <f t="shared" si="12"/>
        <v>0</v>
      </c>
      <c r="P155" s="453">
        <f t="shared" si="13"/>
        <v>0</v>
      </c>
      <c r="Q155" s="414"/>
    </row>
    <row r="156" spans="3:17">
      <c r="C156" s="449" t="str">
        <f>IF(D96="","-",+C155+1)</f>
        <v>-</v>
      </c>
      <c r="D156" s="412">
        <f t="shared" si="14"/>
        <v>0</v>
      </c>
      <c r="E156" s="456">
        <f t="shared" si="15"/>
        <v>0</v>
      </c>
      <c r="F156" s="456">
        <f t="shared" si="8"/>
        <v>0</v>
      </c>
      <c r="G156" s="412">
        <f t="shared" si="9"/>
        <v>0</v>
      </c>
      <c r="H156" s="450">
        <f>+J97*G156+E156</f>
        <v>0</v>
      </c>
      <c r="I156" s="457">
        <f>+J98*G156+E156</f>
        <v>0</v>
      </c>
      <c r="J156" s="453">
        <f t="shared" si="10"/>
        <v>0</v>
      </c>
      <c r="K156" s="453"/>
      <c r="L156" s="458"/>
      <c r="M156" s="453">
        <f t="shared" si="11"/>
        <v>0</v>
      </c>
      <c r="N156" s="458"/>
      <c r="O156" s="453">
        <f t="shared" si="12"/>
        <v>0</v>
      </c>
      <c r="P156" s="453">
        <f t="shared" si="13"/>
        <v>0</v>
      </c>
      <c r="Q156" s="414"/>
    </row>
    <row r="157" spans="3:17">
      <c r="C157" s="449" t="str">
        <f>IF(D96="","-",+C156+1)</f>
        <v>-</v>
      </c>
      <c r="D157" s="412">
        <f t="shared" si="14"/>
        <v>0</v>
      </c>
      <c r="E157" s="456">
        <f t="shared" si="15"/>
        <v>0</v>
      </c>
      <c r="F157" s="456">
        <f t="shared" si="8"/>
        <v>0</v>
      </c>
      <c r="G157" s="412">
        <f t="shared" si="9"/>
        <v>0</v>
      </c>
      <c r="H157" s="450">
        <f>+J97*G157+E157</f>
        <v>0</v>
      </c>
      <c r="I157" s="457">
        <f>+J98*G157+E157</f>
        <v>0</v>
      </c>
      <c r="J157" s="453">
        <f t="shared" si="10"/>
        <v>0</v>
      </c>
      <c r="K157" s="453"/>
      <c r="L157" s="458"/>
      <c r="M157" s="453">
        <f t="shared" si="11"/>
        <v>0</v>
      </c>
      <c r="N157" s="458"/>
      <c r="O157" s="453">
        <f t="shared" si="12"/>
        <v>0</v>
      </c>
      <c r="P157" s="453">
        <f t="shared" si="13"/>
        <v>0</v>
      </c>
      <c r="Q157" s="414"/>
    </row>
    <row r="158" spans="3:17">
      <c r="C158" s="449" t="str">
        <f>IF(D96="","-",+C157+1)</f>
        <v>-</v>
      </c>
      <c r="D158" s="412">
        <f t="shared" si="14"/>
        <v>0</v>
      </c>
      <c r="E158" s="456">
        <f t="shared" si="15"/>
        <v>0</v>
      </c>
      <c r="F158" s="456">
        <f t="shared" si="8"/>
        <v>0</v>
      </c>
      <c r="G158" s="412">
        <f t="shared" si="9"/>
        <v>0</v>
      </c>
      <c r="H158" s="450">
        <f>+J97*G158+E158</f>
        <v>0</v>
      </c>
      <c r="I158" s="457">
        <f>+J98*G158+E158</f>
        <v>0</v>
      </c>
      <c r="J158" s="453">
        <f t="shared" si="10"/>
        <v>0</v>
      </c>
      <c r="K158" s="453"/>
      <c r="L158" s="458"/>
      <c r="M158" s="453">
        <f t="shared" si="11"/>
        <v>0</v>
      </c>
      <c r="N158" s="458"/>
      <c r="O158" s="453">
        <f t="shared" si="12"/>
        <v>0</v>
      </c>
      <c r="P158" s="453">
        <f t="shared" si="13"/>
        <v>0</v>
      </c>
      <c r="Q158" s="414"/>
    </row>
    <row r="159" spans="3:17">
      <c r="C159" s="449" t="str">
        <f>IF(D96="","-",+C158+1)</f>
        <v>-</v>
      </c>
      <c r="D159" s="412">
        <f t="shared" si="14"/>
        <v>0</v>
      </c>
      <c r="E159" s="456">
        <f t="shared" si="15"/>
        <v>0</v>
      </c>
      <c r="F159" s="456">
        <f t="shared" si="8"/>
        <v>0</v>
      </c>
      <c r="G159" s="412">
        <f t="shared" si="9"/>
        <v>0</v>
      </c>
      <c r="H159" s="450">
        <f>+J97*G159+E159</f>
        <v>0</v>
      </c>
      <c r="I159" s="457">
        <f>+J98*G159+E159</f>
        <v>0</v>
      </c>
      <c r="J159" s="453">
        <f t="shared" si="10"/>
        <v>0</v>
      </c>
      <c r="K159" s="453"/>
      <c r="L159" s="458"/>
      <c r="M159" s="453">
        <f t="shared" si="11"/>
        <v>0</v>
      </c>
      <c r="N159" s="458"/>
      <c r="O159" s="453">
        <f t="shared" si="12"/>
        <v>0</v>
      </c>
      <c r="P159" s="453">
        <f t="shared" si="13"/>
        <v>0</v>
      </c>
      <c r="Q159" s="414"/>
    </row>
    <row r="160" spans="3:17">
      <c r="C160" s="449" t="str">
        <f>IF(D96="","-",+C159+1)</f>
        <v>-</v>
      </c>
      <c r="D160" s="412">
        <f t="shared" si="14"/>
        <v>0</v>
      </c>
      <c r="E160" s="456">
        <f t="shared" si="15"/>
        <v>0</v>
      </c>
      <c r="F160" s="456">
        <f t="shared" si="8"/>
        <v>0</v>
      </c>
      <c r="G160" s="412">
        <f t="shared" si="9"/>
        <v>0</v>
      </c>
      <c r="H160" s="450">
        <f>+J97*G160+E160</f>
        <v>0</v>
      </c>
      <c r="I160" s="457">
        <f>+J98*G160+E160</f>
        <v>0</v>
      </c>
      <c r="J160" s="453">
        <f t="shared" si="10"/>
        <v>0</v>
      </c>
      <c r="K160" s="453"/>
      <c r="L160" s="458"/>
      <c r="M160" s="453">
        <f t="shared" si="11"/>
        <v>0</v>
      </c>
      <c r="N160" s="458"/>
      <c r="O160" s="453">
        <f t="shared" si="12"/>
        <v>0</v>
      </c>
      <c r="P160" s="453">
        <f t="shared" si="13"/>
        <v>0</v>
      </c>
      <c r="Q160" s="414"/>
    </row>
    <row r="161" spans="3:17" ht="13.5" thickBot="1">
      <c r="C161" s="461" t="str">
        <f>IF(D96="","-",+C160+1)</f>
        <v>-</v>
      </c>
      <c r="D161" s="462">
        <f t="shared" si="14"/>
        <v>0</v>
      </c>
      <c r="E161" s="463">
        <f t="shared" si="15"/>
        <v>0</v>
      </c>
      <c r="F161" s="463">
        <f t="shared" si="8"/>
        <v>0</v>
      </c>
      <c r="G161" s="462">
        <f t="shared" si="9"/>
        <v>0</v>
      </c>
      <c r="H161" s="464">
        <f>+J97*G161+E161</f>
        <v>0</v>
      </c>
      <c r="I161" s="464">
        <f>+J98*G161+E161</f>
        <v>0</v>
      </c>
      <c r="J161" s="465">
        <f t="shared" si="10"/>
        <v>0</v>
      </c>
      <c r="K161" s="453"/>
      <c r="L161" s="466"/>
      <c r="M161" s="465">
        <f t="shared" si="11"/>
        <v>0</v>
      </c>
      <c r="N161" s="466"/>
      <c r="O161" s="465">
        <f t="shared" si="12"/>
        <v>0</v>
      </c>
      <c r="P161" s="465">
        <f t="shared" si="13"/>
        <v>0</v>
      </c>
      <c r="Q161" s="414"/>
    </row>
    <row r="162" spans="3:17">
      <c r="C162" s="412" t="s">
        <v>288</v>
      </c>
      <c r="D162" s="410"/>
      <c r="E162" s="410">
        <f>SUM(E102:E161)</f>
        <v>0</v>
      </c>
      <c r="F162" s="410"/>
      <c r="G162" s="410"/>
      <c r="H162" s="410">
        <f>SUM(H102:H161)</f>
        <v>0</v>
      </c>
      <c r="I162" s="410">
        <f>SUM(I102:I161)</f>
        <v>0</v>
      </c>
      <c r="J162" s="410">
        <f>SUM(J102:J161)</f>
        <v>0</v>
      </c>
      <c r="K162" s="410"/>
      <c r="L162" s="410"/>
      <c r="M162" s="410"/>
      <c r="N162" s="410"/>
      <c r="O162" s="410"/>
      <c r="P162" s="4"/>
      <c r="Q162" s="410"/>
    </row>
    <row r="163" spans="3:17">
      <c r="D163" s="67"/>
      <c r="E163" s="4"/>
      <c r="F163" s="4"/>
      <c r="G163" s="4"/>
      <c r="H163" s="4"/>
      <c r="I163" s="395"/>
      <c r="J163" s="395"/>
      <c r="K163" s="410"/>
      <c r="L163" s="395"/>
      <c r="M163" s="395"/>
      <c r="N163" s="395"/>
      <c r="O163" s="395"/>
      <c r="P163" s="4"/>
      <c r="Q163" s="410"/>
    </row>
    <row r="164" spans="3:17">
      <c r="C164" s="4" t="s">
        <v>601</v>
      </c>
      <c r="D164" s="67"/>
      <c r="E164" s="4"/>
      <c r="F164" s="4"/>
      <c r="G164" s="4"/>
      <c r="H164" s="4"/>
      <c r="I164" s="395"/>
      <c r="J164" s="395"/>
      <c r="K164" s="410"/>
      <c r="L164" s="395"/>
      <c r="M164" s="395"/>
      <c r="N164" s="395"/>
      <c r="O164" s="395"/>
      <c r="P164" s="4"/>
      <c r="Q164" s="410"/>
    </row>
    <row r="165" spans="3:17">
      <c r="D165" s="67"/>
      <c r="E165" s="4"/>
      <c r="F165" s="4"/>
      <c r="G165" s="4"/>
      <c r="H165" s="4"/>
      <c r="I165" s="395"/>
      <c r="J165" s="395"/>
      <c r="K165" s="410"/>
      <c r="L165" s="395"/>
      <c r="M165" s="395"/>
      <c r="N165" s="395"/>
      <c r="O165" s="395"/>
      <c r="P165" s="4"/>
      <c r="Q165" s="410"/>
    </row>
    <row r="166" spans="3:17">
      <c r="C166" s="4" t="s">
        <v>602</v>
      </c>
      <c r="D166" s="412"/>
      <c r="E166" s="412"/>
      <c r="F166" s="412"/>
      <c r="G166" s="412"/>
      <c r="H166" s="410"/>
      <c r="I166" s="410"/>
      <c r="J166" s="414"/>
      <c r="K166" s="414"/>
      <c r="L166" s="414"/>
      <c r="M166" s="414"/>
      <c r="N166" s="414"/>
      <c r="O166" s="414"/>
      <c r="P166" s="4"/>
      <c r="Q166" s="414"/>
    </row>
    <row r="167" spans="3:17">
      <c r="C167" s="4" t="s">
        <v>476</v>
      </c>
      <c r="D167" s="412"/>
      <c r="E167" s="412"/>
      <c r="F167" s="412"/>
      <c r="G167" s="412"/>
      <c r="H167" s="410"/>
      <c r="I167" s="410"/>
      <c r="J167" s="414"/>
      <c r="K167" s="414"/>
      <c r="L167" s="414"/>
      <c r="M167" s="414"/>
      <c r="N167" s="414"/>
      <c r="O167" s="414"/>
      <c r="P167" s="4"/>
      <c r="Q167" s="414"/>
    </row>
    <row r="168" spans="3:17">
      <c r="C168" s="4" t="s">
        <v>289</v>
      </c>
      <c r="D168" s="412"/>
      <c r="E168" s="412"/>
      <c r="F168" s="412"/>
      <c r="G168" s="412"/>
      <c r="H168" s="410"/>
      <c r="I168" s="410"/>
      <c r="J168" s="414"/>
      <c r="K168" s="414"/>
      <c r="L168" s="414"/>
      <c r="M168" s="414"/>
      <c r="N168" s="414"/>
      <c r="O168" s="414"/>
      <c r="P168" s="4"/>
      <c r="Q168" s="414"/>
    </row>
  </sheetData>
  <mergeCells count="9">
    <mergeCell ref="C60:D61"/>
    <mergeCell ref="C71:D72"/>
    <mergeCell ref="L95:O95"/>
    <mergeCell ref="A3:P3"/>
    <mergeCell ref="C11:I12"/>
    <mergeCell ref="A4:P4"/>
    <mergeCell ref="A5:P5"/>
    <mergeCell ref="A6:P6"/>
    <mergeCell ref="C51:D52"/>
  </mergeCells>
  <phoneticPr fontId="0" type="noConversion"/>
  <conditionalFormatting sqref="C102:C161">
    <cfRule type="cellIs" dxfId="13" priority="11" stopIfTrue="1" operator="equal">
      <formula>$J$92</formula>
    </cfRule>
  </conditionalFormatting>
  <pageMargins left="0.26" right="1.28" top="1" bottom="0.48" header="0.75" footer="0.5"/>
  <pageSetup scale="43" fitToHeight="2" orientation="landscape" r:id="rId1"/>
  <headerFooter alignWithMargins="0">
    <oddHeader>&amp;R&amp;"Arial,Bold"Formula Rate 
&amp;A
Page &amp;P of &amp;N</oddHeader>
  </headerFooter>
  <rowBreaks count="1" manualBreakCount="1">
    <brk id="81" max="1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F6"/>
  <sheetViews>
    <sheetView zoomScaleNormal="100" zoomScaleSheetLayoutView="100" workbookViewId="0">
      <selection activeCell="A3" sqref="A3"/>
    </sheetView>
  </sheetViews>
  <sheetFormatPr defaultRowHeight="12.75" customHeight="1"/>
  <cols>
    <col min="2" max="2" width="37.5703125" customWidth="1"/>
    <col min="3" max="3" width="31.5703125" customWidth="1"/>
    <col min="4" max="4" width="14.85546875" customWidth="1"/>
    <col min="5" max="5" width="18" customWidth="1"/>
    <col min="6" max="6" width="11.140625" bestFit="1" customWidth="1"/>
    <col min="7" max="8" width="9.140625" customWidth="1"/>
  </cols>
  <sheetData>
    <row r="1" spans="1:6" ht="15.75">
      <c r="A1" s="581" t="s">
        <v>114</v>
      </c>
      <c r="B1" s="14"/>
      <c r="C1" s="6"/>
      <c r="D1" s="6"/>
      <c r="E1" s="6"/>
      <c r="F1" s="6"/>
    </row>
    <row r="2" spans="1:6" ht="15.75">
      <c r="A2" s="581" t="s">
        <v>114</v>
      </c>
      <c r="B2" s="14"/>
      <c r="C2" s="6"/>
      <c r="D2" s="6"/>
      <c r="E2" s="6"/>
      <c r="F2" s="6"/>
    </row>
    <row r="3" spans="1:6" ht="15">
      <c r="A3" s="13"/>
      <c r="B3" s="1235" t="s">
        <v>387</v>
      </c>
      <c r="C3" s="1235"/>
      <c r="D3" s="1235"/>
      <c r="E3" s="1235"/>
      <c r="F3" s="1235"/>
    </row>
    <row r="4" spans="1:6" ht="15">
      <c r="A4" s="13"/>
      <c r="B4" s="1236" t="str">
        <f>"Cost of Service Formula Rate Using "&amp;TCOS!L4&amp;" FF1 Balances"</f>
        <v>Cost of Service Formula Rate Using 2026 FF1 Balances</v>
      </c>
      <c r="C4" s="1236"/>
      <c r="D4" s="1236"/>
      <c r="E4" s="1236"/>
      <c r="F4" s="1236"/>
    </row>
    <row r="5" spans="1:6" ht="15">
      <c r="A5" s="13"/>
      <c r="B5" s="1235" t="s">
        <v>547</v>
      </c>
      <c r="C5" s="1235"/>
      <c r="D5" s="1235"/>
      <c r="E5" s="1235"/>
      <c r="F5" s="1235"/>
    </row>
    <row r="6" spans="1:6" ht="15">
      <c r="A6" s="13"/>
      <c r="B6" s="1247" t="str">
        <f>+TCOS!F9</f>
        <v>Appalachian Power Company</v>
      </c>
      <c r="C6" s="1235"/>
      <c r="D6" s="1235"/>
      <c r="E6" s="1235"/>
      <c r="F6" s="1235"/>
    </row>
  </sheetData>
  <mergeCells count="4">
    <mergeCell ref="B6:F6"/>
    <mergeCell ref="B3:F3"/>
    <mergeCell ref="B4:F4"/>
    <mergeCell ref="B5:F5"/>
  </mergeCells>
  <phoneticPr fontId="0" type="noConversion"/>
  <pageMargins left="0.61" right="0.72" top="1" bottom="1" header="0.75" footer="0.5"/>
  <pageSetup scale="76" orientation="portrait" r:id="rId1"/>
  <headerFooter alignWithMargins="0">
    <oddHeader>&amp;R&amp;"Arial,Bold"Formula Rate 
&amp;A
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91"/>
  <sheetViews>
    <sheetView topLeftCell="C9" zoomScaleNormal="100" zoomScaleSheetLayoutView="70" zoomScalePageLayoutView="50" workbookViewId="0">
      <selection activeCell="I29" sqref="I29:I41"/>
    </sheetView>
  </sheetViews>
  <sheetFormatPr defaultColWidth="11.42578125" defaultRowHeight="12.75" customHeight="1"/>
  <cols>
    <col min="1" max="1" width="10.28515625" customWidth="1"/>
    <col min="2" max="2" width="64.5703125" customWidth="1"/>
    <col min="3" max="3" width="26.7109375" bestFit="1" customWidth="1"/>
    <col min="4" max="11" width="20.28515625" customWidth="1"/>
    <col min="12" max="13" width="20.42578125" style="166" customWidth="1"/>
    <col min="14" max="14" width="11.42578125" customWidth="1"/>
  </cols>
  <sheetData>
    <row r="1" spans="1:13" ht="15">
      <c r="A1" s="1235" t="s">
        <v>387</v>
      </c>
      <c r="B1" s="1235"/>
      <c r="C1" s="1235"/>
      <c r="D1" s="1235"/>
      <c r="E1" s="1235"/>
      <c r="F1" s="1235"/>
      <c r="G1" s="1235"/>
      <c r="H1" s="67"/>
      <c r="I1" s="67"/>
      <c r="J1" s="4"/>
      <c r="K1" s="4"/>
    </row>
    <row r="2" spans="1:13" ht="15">
      <c r="A2" s="1236" t="str">
        <f>"Cost of Service Formula Rate Using Actual/Projected FF1 Balances"</f>
        <v>Cost of Service Formula Rate Using Actual/Projected FF1 Balances</v>
      </c>
      <c r="B2" s="1236"/>
      <c r="C2" s="1236"/>
      <c r="D2" s="1236"/>
      <c r="E2" s="1236"/>
      <c r="F2" s="1236"/>
      <c r="G2" s="1236"/>
      <c r="H2" s="67"/>
      <c r="I2" s="67"/>
      <c r="J2" s="67"/>
      <c r="K2" s="4"/>
      <c r="L2" s="1169"/>
    </row>
    <row r="3" spans="1:13" ht="15">
      <c r="A3" s="1236" t="s">
        <v>657</v>
      </c>
      <c r="B3" s="1236"/>
      <c r="C3" s="1236"/>
      <c r="D3" s="1236"/>
      <c r="E3" s="1236"/>
      <c r="F3" s="1236"/>
      <c r="G3" s="1236"/>
      <c r="H3" s="67"/>
      <c r="I3" s="67"/>
      <c r="J3" s="67"/>
      <c r="K3" s="4"/>
      <c r="L3" s="1169"/>
    </row>
    <row r="4" spans="1:13" ht="15">
      <c r="A4" s="1237" t="str">
        <f>TCOS!F9</f>
        <v>Appalachian Power Company</v>
      </c>
      <c r="B4" s="1237"/>
      <c r="C4" s="1237"/>
      <c r="D4" s="1237"/>
      <c r="E4" s="1237"/>
      <c r="F4" s="1237"/>
      <c r="G4" s="1237"/>
      <c r="H4" s="67"/>
      <c r="I4" s="67"/>
      <c r="J4" s="67"/>
      <c r="K4" s="4"/>
      <c r="L4" s="1169"/>
    </row>
    <row r="5" spans="1:13">
      <c r="A5" s="67"/>
      <c r="B5" s="609"/>
      <c r="C5" s="609"/>
      <c r="D5" s="609"/>
      <c r="E5" s="611"/>
      <c r="F5" s="591"/>
      <c r="G5" s="4"/>
      <c r="H5" s="591"/>
      <c r="I5" s="4"/>
      <c r="J5" s="591"/>
      <c r="K5" s="4"/>
      <c r="L5" s="591"/>
    </row>
    <row r="6" spans="1:13" ht="12.75" customHeight="1">
      <c r="A6" s="67"/>
      <c r="B6" s="591"/>
      <c r="C6" s="1241" t="s">
        <v>656</v>
      </c>
      <c r="D6" s="1242"/>
      <c r="E6" s="1242"/>
      <c r="F6" s="1242"/>
      <c r="G6" s="1242"/>
      <c r="H6" s="1242"/>
      <c r="I6" s="1242"/>
      <c r="J6" s="1242"/>
      <c r="K6" s="1242"/>
      <c r="L6" s="1242"/>
      <c r="M6" s="1243"/>
    </row>
    <row r="7" spans="1:13" ht="25.5">
      <c r="A7" s="608" t="s">
        <v>646</v>
      </c>
      <c r="B7" s="607" t="s">
        <v>645</v>
      </c>
      <c r="C7" s="594" t="s">
        <v>229</v>
      </c>
      <c r="D7" s="594" t="s">
        <v>654</v>
      </c>
      <c r="E7" s="594" t="s">
        <v>115</v>
      </c>
      <c r="F7" s="594" t="s">
        <v>653</v>
      </c>
      <c r="G7" s="594" t="s">
        <v>438</v>
      </c>
      <c r="H7" s="594" t="s">
        <v>652</v>
      </c>
      <c r="I7" s="594" t="s">
        <v>334</v>
      </c>
      <c r="J7" s="594" t="s">
        <v>651</v>
      </c>
      <c r="K7" s="594" t="s">
        <v>650</v>
      </c>
      <c r="L7" s="594"/>
      <c r="M7" s="1195"/>
    </row>
    <row r="8" spans="1:13">
      <c r="A8" s="590"/>
      <c r="B8" s="592" t="s">
        <v>640</v>
      </c>
      <c r="C8" s="591" t="s">
        <v>639</v>
      </c>
      <c r="D8" s="591" t="s">
        <v>638</v>
      </c>
      <c r="E8" s="591" t="s">
        <v>637</v>
      </c>
      <c r="F8" s="591" t="s">
        <v>636</v>
      </c>
      <c r="G8" s="591" t="s">
        <v>658</v>
      </c>
      <c r="H8" s="591" t="s">
        <v>659</v>
      </c>
      <c r="I8" s="591" t="s">
        <v>649</v>
      </c>
      <c r="J8" s="591" t="s">
        <v>648</v>
      </c>
      <c r="K8" s="1176" t="s">
        <v>647</v>
      </c>
      <c r="L8" s="591"/>
      <c r="M8" s="592"/>
    </row>
    <row r="9" spans="1:13" ht="44.25" customHeight="1">
      <c r="A9" s="590"/>
      <c r="B9" s="592" t="s">
        <v>635</v>
      </c>
      <c r="C9" s="1177" t="s">
        <v>442</v>
      </c>
      <c r="D9" s="1177" t="s">
        <v>447</v>
      </c>
      <c r="E9" s="1177" t="s">
        <v>443</v>
      </c>
      <c r="F9" s="1177" t="s">
        <v>660</v>
      </c>
      <c r="G9" s="1177" t="s">
        <v>444</v>
      </c>
      <c r="H9" s="1177" t="s">
        <v>445</v>
      </c>
      <c r="I9" s="1177" t="s">
        <v>661</v>
      </c>
      <c r="J9" s="1177" t="s">
        <v>662</v>
      </c>
      <c r="K9" s="1177" t="s">
        <v>446</v>
      </c>
      <c r="L9" s="1177"/>
      <c r="M9" s="1196"/>
    </row>
    <row r="10" spans="1:13">
      <c r="A10" s="590">
        <v>1</v>
      </c>
      <c r="B10" s="605" t="s">
        <v>633</v>
      </c>
      <c r="C10" s="1170">
        <v>7988114355.5365419</v>
      </c>
      <c r="D10" s="1170">
        <v>255804581.36000001</v>
      </c>
      <c r="E10" s="1170">
        <v>5295409461.8491755</v>
      </c>
      <c r="F10" s="1170"/>
      <c r="G10" s="1170">
        <v>6112740981.4520197</v>
      </c>
      <c r="H10" s="1170">
        <v>3068.5599999999995</v>
      </c>
      <c r="I10" s="1170">
        <v>1016087654.7605408</v>
      </c>
      <c r="J10" s="1170">
        <v>1427686.3401084307</v>
      </c>
      <c r="K10" s="1170">
        <v>20502079.75</v>
      </c>
      <c r="L10" s="1170"/>
      <c r="M10" s="1198"/>
    </row>
    <row r="11" spans="1:13">
      <c r="A11" s="590">
        <f>+A10+1</f>
        <v>2</v>
      </c>
      <c r="B11" s="605" t="s">
        <v>185</v>
      </c>
      <c r="C11" s="1170">
        <v>7988007504.8197412</v>
      </c>
      <c r="D11" s="1170">
        <v>255804581.36000001</v>
      </c>
      <c r="E11" s="1170">
        <v>5301780363.5301113</v>
      </c>
      <c r="F11" s="1170"/>
      <c r="G11" s="1170">
        <v>6140888461.8291903</v>
      </c>
      <c r="H11" s="1170">
        <v>3068.5599999999995</v>
      </c>
      <c r="I11" s="1170">
        <v>1026035557.2553532</v>
      </c>
      <c r="J11" s="1170">
        <v>1427310.9657667796</v>
      </c>
      <c r="K11" s="1170">
        <v>20502079.75</v>
      </c>
      <c r="L11" s="1170"/>
      <c r="M11" s="1198"/>
    </row>
    <row r="12" spans="1:13">
      <c r="A12" s="590">
        <f t="shared" ref="A12:A23" si="0">+A11+1</f>
        <v>3</v>
      </c>
      <c r="B12" s="604" t="s">
        <v>559</v>
      </c>
      <c r="C12" s="1170">
        <v>8322224402.5926723</v>
      </c>
      <c r="D12" s="1170">
        <v>255804581.36000001</v>
      </c>
      <c r="E12" s="1170">
        <v>5316174060.6461124</v>
      </c>
      <c r="F12" s="1170"/>
      <c r="G12" s="1170">
        <v>6173904541.1295404</v>
      </c>
      <c r="H12" s="1170">
        <v>3068.5599999999995</v>
      </c>
      <c r="I12" s="1170">
        <v>1028359466.530635</v>
      </c>
      <c r="J12" s="1170">
        <v>1426935.6905857895</v>
      </c>
      <c r="K12" s="1170">
        <v>20502079.75</v>
      </c>
      <c r="L12" s="1170"/>
      <c r="M12" s="1198"/>
    </row>
    <row r="13" spans="1:13">
      <c r="A13" s="590">
        <f t="shared" si="0"/>
        <v>4</v>
      </c>
      <c r="B13" s="604" t="s">
        <v>632</v>
      </c>
      <c r="C13" s="1170">
        <v>8338701800.7643356</v>
      </c>
      <c r="D13" s="1170">
        <v>255804581.36000001</v>
      </c>
      <c r="E13" s="1170">
        <v>5325079667.1041183</v>
      </c>
      <c r="F13" s="1170"/>
      <c r="G13" s="1170">
        <v>6199675067.5060043</v>
      </c>
      <c r="H13" s="1170">
        <v>3068.5599999999995</v>
      </c>
      <c r="I13" s="1170">
        <v>1017568792.1876514</v>
      </c>
      <c r="J13" s="1170">
        <v>1426560.5145392658</v>
      </c>
      <c r="K13" s="1170">
        <v>20502079.75</v>
      </c>
      <c r="L13" s="1170"/>
      <c r="M13" s="1198"/>
    </row>
    <row r="14" spans="1:13">
      <c r="A14" s="590">
        <f t="shared" si="0"/>
        <v>5</v>
      </c>
      <c r="B14" s="604" t="s">
        <v>187</v>
      </c>
      <c r="C14" s="1170">
        <v>6323981434.3991442</v>
      </c>
      <c r="D14" s="1170">
        <v>255804581.36000001</v>
      </c>
      <c r="E14" s="1170">
        <v>5333819497.4101887</v>
      </c>
      <c r="F14" s="1170"/>
      <c r="G14" s="1170">
        <v>6222202458.9789934</v>
      </c>
      <c r="H14" s="1170">
        <v>3068.5599999999995</v>
      </c>
      <c r="I14" s="1170">
        <v>1018696449.456339</v>
      </c>
      <c r="J14" s="1170">
        <v>1426185.4376010206</v>
      </c>
      <c r="K14" s="1170">
        <v>20502079.75</v>
      </c>
      <c r="L14" s="1170"/>
      <c r="M14" s="1198"/>
    </row>
    <row r="15" spans="1:13">
      <c r="A15" s="590">
        <f t="shared" si="0"/>
        <v>6</v>
      </c>
      <c r="B15" s="604" t="s">
        <v>188</v>
      </c>
      <c r="C15" s="1170">
        <v>3173100664.8882284</v>
      </c>
      <c r="D15" s="1170">
        <v>255804581.36000001</v>
      </c>
      <c r="E15" s="1170">
        <v>5345057434.9871979</v>
      </c>
      <c r="F15" s="1170"/>
      <c r="G15" s="1170">
        <v>6256113510.8650074</v>
      </c>
      <c r="H15" s="1170">
        <v>3068.5599999999995</v>
      </c>
      <c r="I15" s="1170">
        <v>1019978618.8028353</v>
      </c>
      <c r="J15" s="1170">
        <v>1425810.459744873</v>
      </c>
      <c r="K15" s="1170">
        <v>20502079.75</v>
      </c>
      <c r="L15" s="1170"/>
      <c r="M15" s="1198"/>
    </row>
    <row r="16" spans="1:13">
      <c r="A16" s="590">
        <f t="shared" si="0"/>
        <v>7</v>
      </c>
      <c r="B16" s="604" t="s">
        <v>382</v>
      </c>
      <c r="C16" s="1170">
        <v>3224222985.6992159</v>
      </c>
      <c r="D16" s="1170">
        <v>255804581.36000001</v>
      </c>
      <c r="E16" s="1170">
        <v>5352044066.4474344</v>
      </c>
      <c r="F16" s="1170"/>
      <c r="G16" s="1170">
        <v>6285029976.5054121</v>
      </c>
      <c r="H16" s="1170">
        <v>3068.5599999999995</v>
      </c>
      <c r="I16" s="1170">
        <v>1012921072.5236111</v>
      </c>
      <c r="J16" s="1170">
        <v>1425435.5809446489</v>
      </c>
      <c r="K16" s="1170">
        <v>20502079.75</v>
      </c>
      <c r="L16" s="1170"/>
      <c r="M16" s="1198"/>
    </row>
    <row r="17" spans="1:13">
      <c r="A17" s="590">
        <f t="shared" si="0"/>
        <v>8</v>
      </c>
      <c r="B17" s="604" t="s">
        <v>189</v>
      </c>
      <c r="C17" s="1170">
        <v>3237310272.0939569</v>
      </c>
      <c r="D17" s="1170">
        <v>255804581.36000001</v>
      </c>
      <c r="E17" s="1170">
        <v>5374964733.5999451</v>
      </c>
      <c r="F17" s="1170"/>
      <c r="G17" s="1170">
        <v>6313142322.0230122</v>
      </c>
      <c r="H17" s="1170">
        <v>3068.5599999999995</v>
      </c>
      <c r="I17" s="1170">
        <v>1014078815.5552987</v>
      </c>
      <c r="J17" s="1170">
        <v>1425060.801174182</v>
      </c>
      <c r="K17" s="1170">
        <v>20502079.75</v>
      </c>
      <c r="L17" s="1170"/>
      <c r="M17" s="1198"/>
    </row>
    <row r="18" spans="1:13">
      <c r="A18" s="590">
        <f t="shared" si="0"/>
        <v>9</v>
      </c>
      <c r="B18" s="604" t="s">
        <v>631</v>
      </c>
      <c r="C18" s="1170">
        <v>3239063193.3023863</v>
      </c>
      <c r="D18" s="1170">
        <v>255804581.36000001</v>
      </c>
      <c r="E18" s="1170">
        <v>5386685227.0036201</v>
      </c>
      <c r="F18" s="1170"/>
      <c r="G18" s="1170">
        <v>6334603896.4166584</v>
      </c>
      <c r="H18" s="1170">
        <v>3068.5599999999995</v>
      </c>
      <c r="I18" s="1170">
        <v>1015250126.8106102</v>
      </c>
      <c r="J18" s="1170">
        <v>1424686.1204073112</v>
      </c>
      <c r="K18" s="1170">
        <v>20502079.75</v>
      </c>
      <c r="L18" s="1170"/>
      <c r="M18" s="1198"/>
    </row>
    <row r="19" spans="1:13">
      <c r="A19" s="590">
        <f t="shared" si="0"/>
        <v>10</v>
      </c>
      <c r="B19" s="604" t="s">
        <v>192</v>
      </c>
      <c r="C19" s="1170">
        <v>3258189169.5291491</v>
      </c>
      <c r="D19" s="1170">
        <v>255804581.36000001</v>
      </c>
      <c r="E19" s="1170">
        <v>5392590089.2235565</v>
      </c>
      <c r="F19" s="1170"/>
      <c r="G19" s="1170">
        <v>6362311765.8822632</v>
      </c>
      <c r="H19" s="1170">
        <v>3068.5599999999995</v>
      </c>
      <c r="I19" s="1170">
        <v>1006307713.1490495</v>
      </c>
      <c r="J19" s="1170">
        <v>1424311.5386178836</v>
      </c>
      <c r="K19" s="1170">
        <v>20502079.75</v>
      </c>
      <c r="L19" s="1170"/>
      <c r="M19" s="1198"/>
    </row>
    <row r="20" spans="1:13">
      <c r="A20" s="590">
        <f t="shared" si="0"/>
        <v>11</v>
      </c>
      <c r="B20" s="604" t="s">
        <v>560</v>
      </c>
      <c r="C20" s="1170">
        <v>3263193066.1758604</v>
      </c>
      <c r="D20" s="1170">
        <v>255804581.36000001</v>
      </c>
      <c r="E20" s="1170">
        <v>5412315283.7101936</v>
      </c>
      <c r="F20" s="1170"/>
      <c r="G20" s="1170">
        <v>6386750889.2657509</v>
      </c>
      <c r="H20" s="1170">
        <v>3068.5599999999995</v>
      </c>
      <c r="I20" s="1170">
        <v>1010667409.8524115</v>
      </c>
      <c r="J20" s="1170">
        <v>1423937.0557797526</v>
      </c>
      <c r="K20" s="1170">
        <v>20502079.75</v>
      </c>
      <c r="L20" s="1170"/>
      <c r="M20" s="1198"/>
    </row>
    <row r="21" spans="1:13">
      <c r="A21" s="590">
        <f t="shared" si="0"/>
        <v>12</v>
      </c>
      <c r="B21" s="604" t="s">
        <v>561</v>
      </c>
      <c r="C21" s="1170">
        <v>3293454319.5921717</v>
      </c>
      <c r="D21" s="1170">
        <v>255804581.36000001</v>
      </c>
      <c r="E21" s="1170">
        <v>5499338403.2224264</v>
      </c>
      <c r="F21" s="1170"/>
      <c r="G21" s="1170">
        <v>6416142732.7173281</v>
      </c>
      <c r="H21" s="1170">
        <v>3068.5599999999995</v>
      </c>
      <c r="I21" s="1170">
        <v>1012218058.4764746</v>
      </c>
      <c r="J21" s="1170">
        <v>1423562.6718667792</v>
      </c>
      <c r="K21" s="1170">
        <v>20502079.75</v>
      </c>
      <c r="L21" s="1170"/>
      <c r="M21" s="1198"/>
    </row>
    <row r="22" spans="1:13">
      <c r="A22" s="589">
        <f t="shared" si="0"/>
        <v>13</v>
      </c>
      <c r="B22" s="603" t="s">
        <v>630</v>
      </c>
      <c r="C22" s="1170">
        <v>3363698582.2671347</v>
      </c>
      <c r="D22" s="1170">
        <v>255804581.36000001</v>
      </c>
      <c r="E22" s="1170">
        <v>5547308456.2926321</v>
      </c>
      <c r="F22" s="1170"/>
      <c r="G22" s="1170">
        <v>6450633404.1417074</v>
      </c>
      <c r="H22" s="1170">
        <v>3068.5599999999995</v>
      </c>
      <c r="I22" s="1170">
        <v>1002136567.3978672</v>
      </c>
      <c r="J22" s="1170">
        <v>1423188.3868528302</v>
      </c>
      <c r="K22" s="1170">
        <v>20502079.75</v>
      </c>
      <c r="L22" s="1170"/>
      <c r="M22" s="1199"/>
    </row>
    <row r="23" spans="1:13" ht="13.5" thickBot="1">
      <c r="A23" s="773">
        <f t="shared" si="0"/>
        <v>14</v>
      </c>
      <c r="B23" s="774" t="s">
        <v>856</v>
      </c>
      <c r="C23" s="1173">
        <f>SUM(C10:C22)/13</f>
        <v>5001020134.7431183</v>
      </c>
      <c r="D23" s="1173">
        <f t="shared" ref="D23:K23" si="1">SUM(D10:D22)/13</f>
        <v>255804581.3600001</v>
      </c>
      <c r="E23" s="1173">
        <f t="shared" si="1"/>
        <v>5375582057.3097467</v>
      </c>
      <c r="F23" s="1173">
        <f t="shared" si="1"/>
        <v>0</v>
      </c>
      <c r="G23" s="1173">
        <f t="shared" si="1"/>
        <v>6281087692.9779148</v>
      </c>
      <c r="H23" s="1173">
        <f t="shared" si="1"/>
        <v>3068.5599999999986</v>
      </c>
      <c r="I23" s="1173">
        <f t="shared" si="1"/>
        <v>1015408177.135283</v>
      </c>
      <c r="J23" s="1173">
        <f t="shared" si="1"/>
        <v>1425436.2741530421</v>
      </c>
      <c r="K23" s="1173">
        <f t="shared" si="1"/>
        <v>20502079.75</v>
      </c>
      <c r="L23" s="1173"/>
      <c r="M23" s="1174"/>
    </row>
    <row r="24" spans="1:13" ht="13.5" thickTop="1">
      <c r="A24" s="67"/>
      <c r="B24" s="587"/>
      <c r="C24" s="599"/>
      <c r="D24" s="586"/>
      <c r="E24" s="586"/>
      <c r="F24" s="586"/>
      <c r="G24" s="599"/>
      <c r="H24" s="599"/>
      <c r="I24" s="599"/>
      <c r="J24" s="610"/>
      <c r="K24" s="610"/>
      <c r="L24" s="1175"/>
      <c r="M24" s="1175"/>
    </row>
    <row r="25" spans="1:13" ht="12.75" customHeight="1">
      <c r="A25" s="67"/>
      <c r="B25" s="591"/>
      <c r="C25" s="1238" t="s">
        <v>655</v>
      </c>
      <c r="D25" s="1239"/>
      <c r="E25" s="1239"/>
      <c r="F25" s="1239"/>
      <c r="G25" s="1239"/>
      <c r="H25" s="1239"/>
      <c r="I25" s="1239"/>
      <c r="J25" s="1239"/>
      <c r="K25" s="1239"/>
      <c r="L25" s="1239"/>
      <c r="M25" s="1240"/>
    </row>
    <row r="26" spans="1:13" ht="25.5">
      <c r="A26" s="608" t="s">
        <v>646</v>
      </c>
      <c r="B26" s="607" t="s">
        <v>645</v>
      </c>
      <c r="C26" s="594" t="s">
        <v>229</v>
      </c>
      <c r="D26" s="594" t="s">
        <v>654</v>
      </c>
      <c r="E26" s="594" t="s">
        <v>115</v>
      </c>
      <c r="F26" s="594" t="s">
        <v>653</v>
      </c>
      <c r="G26" s="594" t="s">
        <v>438</v>
      </c>
      <c r="H26" s="594" t="s">
        <v>652</v>
      </c>
      <c r="I26" s="594" t="s">
        <v>334</v>
      </c>
      <c r="J26" s="594" t="s">
        <v>651</v>
      </c>
      <c r="K26" s="594" t="s">
        <v>650</v>
      </c>
      <c r="L26" s="1200"/>
      <c r="M26" s="1195"/>
    </row>
    <row r="27" spans="1:13">
      <c r="A27" s="590"/>
      <c r="B27" s="592" t="s">
        <v>640</v>
      </c>
      <c r="C27" s="591" t="s">
        <v>639</v>
      </c>
      <c r="D27" s="591" t="s">
        <v>638</v>
      </c>
      <c r="E27" s="591" t="s">
        <v>637</v>
      </c>
      <c r="F27" s="591" t="s">
        <v>636</v>
      </c>
      <c r="G27" s="591" t="s">
        <v>658</v>
      </c>
      <c r="H27" s="591" t="s">
        <v>659</v>
      </c>
      <c r="I27" s="591" t="s">
        <v>649</v>
      </c>
      <c r="J27" s="591" t="s">
        <v>648</v>
      </c>
      <c r="K27" s="1176" t="s">
        <v>647</v>
      </c>
      <c r="L27" s="591"/>
      <c r="M27" s="592"/>
    </row>
    <row r="28" spans="1:13" ht="44.25" customHeight="1">
      <c r="A28" s="590"/>
      <c r="B28" s="592" t="s">
        <v>635</v>
      </c>
      <c r="C28" s="1177" t="s">
        <v>379</v>
      </c>
      <c r="D28" s="1177" t="s">
        <v>663</v>
      </c>
      <c r="E28" s="1177" t="s">
        <v>380</v>
      </c>
      <c r="F28" s="1177" t="s">
        <v>664</v>
      </c>
      <c r="G28" s="1177" t="s">
        <v>507</v>
      </c>
      <c r="H28" s="1177" t="s">
        <v>665</v>
      </c>
      <c r="I28" s="1177" t="s">
        <v>481</v>
      </c>
      <c r="J28" s="1177" t="s">
        <v>666</v>
      </c>
      <c r="K28" s="1177" t="s">
        <v>508</v>
      </c>
      <c r="L28" s="1177"/>
      <c r="M28" s="1196"/>
    </row>
    <row r="29" spans="1:13">
      <c r="A29" s="590">
        <f>+A23+1</f>
        <v>15</v>
      </c>
      <c r="B29" s="605" t="s">
        <v>633</v>
      </c>
      <c r="C29" s="1170">
        <v>3805660222.9083405</v>
      </c>
      <c r="D29" s="1170">
        <v>80736669.150000006</v>
      </c>
      <c r="E29" s="1170">
        <v>1045464928.6276486</v>
      </c>
      <c r="F29" s="1170"/>
      <c r="G29" s="1170">
        <v>2035155262.3067355</v>
      </c>
      <c r="H29" s="1170">
        <v>2410.1499999999987</v>
      </c>
      <c r="I29" s="1170">
        <v>312065401.2264834</v>
      </c>
      <c r="J29" s="1170">
        <v>939330.5874774321</v>
      </c>
      <c r="K29" s="1170">
        <v>15416015.742134834</v>
      </c>
      <c r="L29" s="1170"/>
      <c r="M29" s="1198"/>
    </row>
    <row r="30" spans="1:13">
      <c r="A30" s="590">
        <f>+A29+1</f>
        <v>16</v>
      </c>
      <c r="B30" s="605" t="s">
        <v>185</v>
      </c>
      <c r="C30" s="1170">
        <v>3817259974.4769049</v>
      </c>
      <c r="D30" s="1170">
        <v>81503102.430000022</v>
      </c>
      <c r="E30" s="1170">
        <v>1053386573.387367</v>
      </c>
      <c r="F30" s="1170"/>
      <c r="G30" s="1170">
        <v>2044424893.1057169</v>
      </c>
      <c r="H30" s="1170">
        <v>2415.8699999999985</v>
      </c>
      <c r="I30" s="1170">
        <v>316516221.20272952</v>
      </c>
      <c r="J30" s="1170">
        <v>942544.74183146411</v>
      </c>
      <c r="K30" s="1170">
        <v>15442303.774157304</v>
      </c>
      <c r="L30" s="1170"/>
      <c r="M30" s="1198"/>
    </row>
    <row r="31" spans="1:13">
      <c r="A31" s="590">
        <f t="shared" ref="A31:A42" si="2">+A30+1</f>
        <v>17</v>
      </c>
      <c r="B31" s="604" t="s">
        <v>559</v>
      </c>
      <c r="C31" s="1170">
        <v>3838972846.7107587</v>
      </c>
      <c r="D31" s="1170">
        <v>82269535.710000008</v>
      </c>
      <c r="E31" s="1170">
        <v>1061350480.343786</v>
      </c>
      <c r="F31" s="1170"/>
      <c r="G31" s="1170">
        <v>2053301393.7227445</v>
      </c>
      <c r="H31" s="1170">
        <v>2421.5899999999983</v>
      </c>
      <c r="I31" s="1170">
        <v>321007360.17975962</v>
      </c>
      <c r="J31" s="1170">
        <v>945758.05100250442</v>
      </c>
      <c r="K31" s="1170">
        <v>15468591.806179777</v>
      </c>
      <c r="L31" s="1170"/>
      <c r="M31" s="1198"/>
    </row>
    <row r="32" spans="1:13">
      <c r="A32" s="590">
        <f t="shared" si="2"/>
        <v>18</v>
      </c>
      <c r="B32" s="604" t="s">
        <v>632</v>
      </c>
      <c r="C32" s="1170">
        <v>3859280279.7880249</v>
      </c>
      <c r="D32" s="1170">
        <v>83035968.990000024</v>
      </c>
      <c r="E32" s="1170">
        <v>1069354268.7985022</v>
      </c>
      <c r="F32" s="1170"/>
      <c r="G32" s="1170">
        <v>2062055158.9406927</v>
      </c>
      <c r="H32" s="1170">
        <v>2427.3099999999981</v>
      </c>
      <c r="I32" s="1170">
        <v>313442897.74064785</v>
      </c>
      <c r="J32" s="1170">
        <v>948970.51521382062</v>
      </c>
      <c r="K32" s="1170">
        <v>15494879.838202247</v>
      </c>
      <c r="L32" s="1170"/>
      <c r="M32" s="1198"/>
    </row>
    <row r="33" spans="1:13">
      <c r="A33" s="590">
        <f t="shared" si="2"/>
        <v>19</v>
      </c>
      <c r="B33" s="604" t="s">
        <v>187</v>
      </c>
      <c r="C33" s="1170">
        <v>2987082521.3285379</v>
      </c>
      <c r="D33" s="1170">
        <v>83802402.270000011</v>
      </c>
      <c r="E33" s="1170">
        <v>1077385339.5605416</v>
      </c>
      <c r="F33" s="1170"/>
      <c r="G33" s="1170">
        <v>2071134616.8957067</v>
      </c>
      <c r="H33" s="1170">
        <v>2433.0299999999979</v>
      </c>
      <c r="I33" s="1170">
        <v>317775557.14986855</v>
      </c>
      <c r="J33" s="1170">
        <v>952182.1346886215</v>
      </c>
      <c r="K33" s="1170">
        <v>15521167.87022472</v>
      </c>
      <c r="L33" s="1170"/>
      <c r="M33" s="1171"/>
    </row>
    <row r="34" spans="1:13">
      <c r="A34" s="590">
        <f t="shared" si="2"/>
        <v>20</v>
      </c>
      <c r="B34" s="604" t="s">
        <v>188</v>
      </c>
      <c r="C34" s="1170">
        <v>1617716857.7762899</v>
      </c>
      <c r="D34" s="1170">
        <v>84568835.550000027</v>
      </c>
      <c r="E34" s="1170">
        <v>1085439412.2225997</v>
      </c>
      <c r="F34" s="1170"/>
      <c r="G34" s="1170">
        <v>2080320455.495733</v>
      </c>
      <c r="H34" s="1170">
        <v>2438.7499999999973</v>
      </c>
      <c r="I34" s="1170">
        <v>322107424.71942604</v>
      </c>
      <c r="J34" s="1170">
        <v>955392.90965005639</v>
      </c>
      <c r="K34" s="1170">
        <v>15547455.902247192</v>
      </c>
      <c r="L34" s="1170"/>
      <c r="M34" s="1171"/>
    </row>
    <row r="35" spans="1:13">
      <c r="A35" s="590">
        <f t="shared" si="2"/>
        <v>21</v>
      </c>
      <c r="B35" s="604" t="s">
        <v>382</v>
      </c>
      <c r="C35" s="1170">
        <v>1639619767.081882</v>
      </c>
      <c r="D35" s="1170">
        <v>85335268.830000028</v>
      </c>
      <c r="E35" s="1170">
        <v>1093525289.1364648</v>
      </c>
      <c r="F35" s="1170"/>
      <c r="G35" s="1170">
        <v>2089583475.0933421</v>
      </c>
      <c r="H35" s="1170">
        <v>2444.4699999999975</v>
      </c>
      <c r="I35" s="1170">
        <v>318309630.83147192</v>
      </c>
      <c r="J35" s="1170">
        <v>958602.84032121615</v>
      </c>
      <c r="K35" s="1170">
        <v>15573743.934269665</v>
      </c>
      <c r="L35" s="1170"/>
      <c r="M35" s="1171"/>
    </row>
    <row r="36" spans="1:13">
      <c r="A36" s="590">
        <f t="shared" si="2"/>
        <v>22</v>
      </c>
      <c r="B36" s="604" t="s">
        <v>189</v>
      </c>
      <c r="C36" s="1170">
        <v>1662772092.3043022</v>
      </c>
      <c r="D36" s="1170">
        <v>86101702.109999999</v>
      </c>
      <c r="E36" s="1170">
        <v>1101621293.584321</v>
      </c>
      <c r="F36" s="1170"/>
      <c r="G36" s="1170">
        <v>2099053245.683516</v>
      </c>
      <c r="H36" s="1170">
        <v>2450.1899999999973</v>
      </c>
      <c r="I36" s="1170">
        <v>322530750.38224632</v>
      </c>
      <c r="J36" s="1170">
        <v>961811.92692513217</v>
      </c>
      <c r="K36" s="1170">
        <v>15594803.131292136</v>
      </c>
      <c r="L36" s="1170"/>
      <c r="M36" s="1171"/>
    </row>
    <row r="37" spans="1:13">
      <c r="A37" s="590">
        <f t="shared" si="2"/>
        <v>23</v>
      </c>
      <c r="B37" s="604" t="s">
        <v>631</v>
      </c>
      <c r="C37" s="1170">
        <v>1685496310.624465</v>
      </c>
      <c r="D37" s="1170">
        <v>86868135.390000001</v>
      </c>
      <c r="E37" s="1170">
        <v>1109786165.2822647</v>
      </c>
      <c r="F37" s="1170"/>
      <c r="G37" s="1170">
        <v>2108534928.8752546</v>
      </c>
      <c r="H37" s="1170">
        <v>2455.9099999999971</v>
      </c>
      <c r="I37" s="1170">
        <v>326772558.1265837</v>
      </c>
      <c r="J37" s="1170">
        <v>965020.16968477762</v>
      </c>
      <c r="K37" s="1170">
        <v>15615862.32831461</v>
      </c>
      <c r="L37" s="1170"/>
      <c r="M37" s="1171"/>
    </row>
    <row r="38" spans="1:13">
      <c r="A38" s="590">
        <f t="shared" si="2"/>
        <v>24</v>
      </c>
      <c r="B38" s="604" t="s">
        <v>192</v>
      </c>
      <c r="C38" s="1170">
        <v>1705786251.8840866</v>
      </c>
      <c r="D38" s="1170">
        <v>87634568.670000002</v>
      </c>
      <c r="E38" s="1170">
        <v>1117996240.2355919</v>
      </c>
      <c r="F38" s="1170"/>
      <c r="G38" s="1170">
        <v>2118078534.6940432</v>
      </c>
      <c r="H38" s="1170">
        <v>2461.6299999999969</v>
      </c>
      <c r="I38" s="1170">
        <v>320875694.16653788</v>
      </c>
      <c r="J38" s="1170">
        <v>968227.56882306619</v>
      </c>
      <c r="K38" s="1170">
        <v>15636921.525337081</v>
      </c>
      <c r="L38" s="1170"/>
      <c r="M38" s="1171"/>
    </row>
    <row r="39" spans="1:13">
      <c r="A39" s="590">
        <f t="shared" si="2"/>
        <v>25</v>
      </c>
      <c r="B39" s="604" t="s">
        <v>560</v>
      </c>
      <c r="C39" s="1170">
        <v>1726894325.5304828</v>
      </c>
      <c r="D39" s="1170">
        <v>88401001.950000003</v>
      </c>
      <c r="E39" s="1170">
        <v>1126226100.9505467</v>
      </c>
      <c r="F39" s="1170"/>
      <c r="G39" s="1170">
        <v>2127805354.2371986</v>
      </c>
      <c r="H39" s="1170">
        <v>2467.3499999999967</v>
      </c>
      <c r="I39" s="1170">
        <v>324958980.36702448</v>
      </c>
      <c r="J39" s="1170">
        <v>971434.12456285278</v>
      </c>
      <c r="K39" s="1170">
        <v>15657980.722359553</v>
      </c>
      <c r="L39" s="1170"/>
      <c r="M39" s="1171"/>
    </row>
    <row r="40" spans="1:13">
      <c r="A40" s="590">
        <f t="shared" si="2"/>
        <v>26</v>
      </c>
      <c r="B40" s="604" t="s">
        <v>561</v>
      </c>
      <c r="C40" s="1170">
        <v>1748768816.7821178</v>
      </c>
      <c r="D40" s="1170">
        <v>89167435.230000004</v>
      </c>
      <c r="E40" s="1170">
        <v>1134505143.0138814</v>
      </c>
      <c r="F40" s="1170"/>
      <c r="G40" s="1170">
        <v>2137876763.9873905</v>
      </c>
      <c r="H40" s="1170">
        <v>2473.0699999999961</v>
      </c>
      <c r="I40" s="1170">
        <v>329065386.39632416</v>
      </c>
      <c r="J40" s="1170">
        <v>974639.83712693374</v>
      </c>
      <c r="K40" s="1170">
        <v>15679039.919382025</v>
      </c>
      <c r="L40" s="1170"/>
      <c r="M40" s="1171"/>
    </row>
    <row r="41" spans="1:13">
      <c r="A41" s="589">
        <f t="shared" si="2"/>
        <v>27</v>
      </c>
      <c r="B41" s="603" t="s">
        <v>630</v>
      </c>
      <c r="C41" s="1170">
        <v>1772191889.1376262</v>
      </c>
      <c r="D41" s="1170">
        <v>89933868.510000035</v>
      </c>
      <c r="E41" s="1170">
        <v>1142978730.6290727</v>
      </c>
      <c r="F41" s="1170"/>
      <c r="G41" s="1170">
        <v>2147679165.1146431</v>
      </c>
      <c r="H41" s="1170">
        <v>2478.7899999999963</v>
      </c>
      <c r="I41" s="1170">
        <v>318893450.12845117</v>
      </c>
      <c r="J41" s="1170">
        <v>977844.70673804625</v>
      </c>
      <c r="K41" s="1170">
        <v>15700099.116404496</v>
      </c>
      <c r="L41" s="1170"/>
      <c r="M41" s="1172"/>
    </row>
    <row r="42" spans="1:13" ht="13.5" thickBot="1">
      <c r="A42" s="602">
        <f t="shared" si="2"/>
        <v>28</v>
      </c>
      <c r="B42" s="774" t="s">
        <v>856</v>
      </c>
      <c r="C42" s="1173">
        <f>SUM(C29:C41)/13</f>
        <v>2451346319.7179866</v>
      </c>
      <c r="D42" s="1173">
        <f t="shared" ref="D42:K42" si="3">SUM(D29:D41)/13</f>
        <v>85335268.830000013</v>
      </c>
      <c r="E42" s="1173">
        <f t="shared" si="3"/>
        <v>1093770766.5978913</v>
      </c>
      <c r="F42" s="1173">
        <f t="shared" si="3"/>
        <v>0</v>
      </c>
      <c r="G42" s="1173">
        <f t="shared" si="3"/>
        <v>2090384865.2425165</v>
      </c>
      <c r="H42" s="1173">
        <f t="shared" si="3"/>
        <v>2444.4699999999971</v>
      </c>
      <c r="I42" s="1173">
        <f t="shared" si="3"/>
        <v>320332408.66288882</v>
      </c>
      <c r="J42" s="1173">
        <f t="shared" si="3"/>
        <v>958596.93184968631</v>
      </c>
      <c r="K42" s="1173">
        <f t="shared" si="3"/>
        <v>15565297.354654282</v>
      </c>
      <c r="L42" s="1173"/>
      <c r="M42" s="1174"/>
    </row>
    <row r="43" spans="1:13" ht="13.5" thickTop="1">
      <c r="A43" s="67"/>
      <c r="B43" s="587"/>
      <c r="C43" s="599"/>
      <c r="D43" s="586"/>
      <c r="E43" s="586"/>
      <c r="F43" s="586"/>
      <c r="G43" s="599"/>
      <c r="L43"/>
      <c r="M43"/>
    </row>
    <row r="44" spans="1:13">
      <c r="A44" s="67"/>
      <c r="B44" s="587"/>
      <c r="C44" s="599"/>
      <c r="D44" s="586"/>
      <c r="E44" s="586"/>
      <c r="F44" s="586"/>
      <c r="G44" s="599"/>
      <c r="H44" s="599"/>
      <c r="I44" s="599"/>
      <c r="J44" s="4"/>
      <c r="K44" s="4"/>
    </row>
    <row r="45" spans="1:13">
      <c r="A45" s="598"/>
      <c r="B45" s="597"/>
      <c r="C45" s="1183"/>
      <c r="D45" s="1184"/>
      <c r="E45" s="1184"/>
      <c r="F45" s="1184"/>
      <c r="G45" s="1184"/>
      <c r="H45" s="1201"/>
      <c r="L45"/>
      <c r="M45"/>
    </row>
    <row r="46" spans="1:13" ht="72" customHeight="1">
      <c r="A46" s="596" t="s">
        <v>646</v>
      </c>
      <c r="B46" s="591" t="s">
        <v>645</v>
      </c>
      <c r="C46" s="595" t="s">
        <v>644</v>
      </c>
      <c r="D46" s="594" t="s">
        <v>643</v>
      </c>
      <c r="E46" s="594" t="s">
        <v>642</v>
      </c>
      <c r="F46" s="594" t="s">
        <v>641</v>
      </c>
      <c r="G46" s="594"/>
      <c r="H46" s="1195"/>
      <c r="L46"/>
      <c r="M46"/>
    </row>
    <row r="47" spans="1:13">
      <c r="A47" s="590"/>
      <c r="B47" s="591" t="s">
        <v>640</v>
      </c>
      <c r="C47" s="593" t="s">
        <v>639</v>
      </c>
      <c r="D47" s="591" t="s">
        <v>638</v>
      </c>
      <c r="E47" s="591" t="s">
        <v>637</v>
      </c>
      <c r="F47" s="591" t="s">
        <v>636</v>
      </c>
      <c r="G47" s="591"/>
      <c r="H47" s="592"/>
      <c r="L47"/>
      <c r="M47"/>
    </row>
    <row r="48" spans="1:13" ht="63.75">
      <c r="A48" s="590"/>
      <c r="B48" s="591" t="s">
        <v>635</v>
      </c>
      <c r="C48" s="1185" t="s">
        <v>667</v>
      </c>
      <c r="D48" s="1186" t="s">
        <v>668</v>
      </c>
      <c r="E48" s="1186" t="s">
        <v>634</v>
      </c>
      <c r="F48" s="1186" t="s">
        <v>634</v>
      </c>
      <c r="G48" s="1186"/>
      <c r="H48" s="1202"/>
      <c r="L48"/>
      <c r="M48"/>
    </row>
    <row r="49" spans="1:13">
      <c r="A49" s="590">
        <f>+A42+1</f>
        <v>29</v>
      </c>
      <c r="B49" s="605" t="s">
        <v>633</v>
      </c>
      <c r="C49" s="1170">
        <v>83064198.99000001</v>
      </c>
      <c r="D49" s="1170">
        <v>29918911.047384951</v>
      </c>
      <c r="E49" s="1170"/>
      <c r="F49" s="1187"/>
      <c r="G49" s="1197"/>
      <c r="H49" s="1203"/>
      <c r="L49"/>
      <c r="M49"/>
    </row>
    <row r="50" spans="1:13">
      <c r="A50" s="590">
        <f>+A49+1</f>
        <v>30</v>
      </c>
      <c r="B50" s="605" t="s">
        <v>185</v>
      </c>
      <c r="C50" s="1170">
        <v>83064198.99000001</v>
      </c>
      <c r="D50" s="1170">
        <v>30115746.627476029</v>
      </c>
      <c r="E50" s="1170"/>
      <c r="F50" s="1170"/>
      <c r="G50" s="1197"/>
      <c r="H50" s="1198"/>
      <c r="L50"/>
      <c r="M50"/>
    </row>
    <row r="51" spans="1:13">
      <c r="A51" s="590">
        <f t="shared" ref="A51:A62" si="4">+A50+1</f>
        <v>31</v>
      </c>
      <c r="B51" s="604" t="s">
        <v>559</v>
      </c>
      <c r="C51" s="1170">
        <v>83064198.99000001</v>
      </c>
      <c r="D51" s="1170">
        <v>30312582.207567092</v>
      </c>
      <c r="E51" s="1170"/>
      <c r="F51" s="1170"/>
      <c r="G51" s="1178"/>
      <c r="H51" s="1179"/>
      <c r="L51"/>
      <c r="M51"/>
    </row>
    <row r="52" spans="1:13">
      <c r="A52" s="590">
        <f t="shared" si="4"/>
        <v>32</v>
      </c>
      <c r="B52" s="604" t="s">
        <v>632</v>
      </c>
      <c r="C52" s="1170">
        <v>83064198.99000001</v>
      </c>
      <c r="D52" s="1170">
        <v>30509417.787658166</v>
      </c>
      <c r="E52" s="1170"/>
      <c r="F52" s="1170"/>
      <c r="G52" s="1178"/>
      <c r="H52" s="1179"/>
      <c r="L52"/>
      <c r="M52"/>
    </row>
    <row r="53" spans="1:13">
      <c r="A53" s="590">
        <f t="shared" si="4"/>
        <v>33</v>
      </c>
      <c r="B53" s="604" t="s">
        <v>187</v>
      </c>
      <c r="C53" s="1170">
        <v>83064198.99000001</v>
      </c>
      <c r="D53" s="1170">
        <v>30706253.36774924</v>
      </c>
      <c r="E53" s="1170"/>
      <c r="F53" s="1170"/>
      <c r="G53" s="1178"/>
      <c r="H53" s="1179"/>
      <c r="L53"/>
      <c r="M53"/>
    </row>
    <row r="54" spans="1:13">
      <c r="A54" s="590">
        <f t="shared" si="4"/>
        <v>34</v>
      </c>
      <c r="B54" s="604" t="s">
        <v>188</v>
      </c>
      <c r="C54" s="1170">
        <v>83064198.99000001</v>
      </c>
      <c r="D54" s="1170">
        <v>30903088.947840311</v>
      </c>
      <c r="E54" s="1170"/>
      <c r="F54" s="1170"/>
      <c r="G54" s="1178"/>
      <c r="H54" s="1179"/>
      <c r="L54"/>
      <c r="M54"/>
    </row>
    <row r="55" spans="1:13">
      <c r="A55" s="590">
        <f t="shared" si="4"/>
        <v>35</v>
      </c>
      <c r="B55" s="604" t="s">
        <v>382</v>
      </c>
      <c r="C55" s="1170">
        <v>83064198.99000001</v>
      </c>
      <c r="D55" s="1170">
        <v>31099924.527931385</v>
      </c>
      <c r="E55" s="1170"/>
      <c r="F55" s="1170"/>
      <c r="G55" s="1178"/>
      <c r="H55" s="1179"/>
      <c r="L55"/>
      <c r="M55"/>
    </row>
    <row r="56" spans="1:13">
      <c r="A56" s="590">
        <f t="shared" si="4"/>
        <v>36</v>
      </c>
      <c r="B56" s="604" t="s">
        <v>189</v>
      </c>
      <c r="C56" s="1170">
        <v>83064198.99000001</v>
      </c>
      <c r="D56" s="1170">
        <v>31296760.108022451</v>
      </c>
      <c r="E56" s="1170"/>
      <c r="F56" s="1170"/>
      <c r="G56" s="1178"/>
      <c r="H56" s="1179"/>
      <c r="L56"/>
      <c r="M56"/>
    </row>
    <row r="57" spans="1:13">
      <c r="A57" s="590">
        <f t="shared" si="4"/>
        <v>37</v>
      </c>
      <c r="B57" s="604" t="s">
        <v>631</v>
      </c>
      <c r="C57" s="1170">
        <v>83064198.99000001</v>
      </c>
      <c r="D57" s="1170">
        <v>31493595.688113526</v>
      </c>
      <c r="E57" s="1170"/>
      <c r="F57" s="1170"/>
      <c r="G57" s="1178"/>
      <c r="H57" s="1179"/>
      <c r="L57"/>
      <c r="M57"/>
    </row>
    <row r="58" spans="1:13">
      <c r="A58" s="590">
        <f t="shared" si="4"/>
        <v>38</v>
      </c>
      <c r="B58" s="604" t="s">
        <v>192</v>
      </c>
      <c r="C58" s="1170">
        <v>83064198.99000001</v>
      </c>
      <c r="D58" s="1170">
        <v>31690431.2682046</v>
      </c>
      <c r="E58" s="1170"/>
      <c r="F58" s="1170"/>
      <c r="G58" s="1178"/>
      <c r="H58" s="1179"/>
      <c r="L58"/>
      <c r="M58"/>
    </row>
    <row r="59" spans="1:13">
      <c r="A59" s="590">
        <f t="shared" si="4"/>
        <v>39</v>
      </c>
      <c r="B59" s="604" t="s">
        <v>560</v>
      </c>
      <c r="C59" s="1170">
        <v>83064198.99000001</v>
      </c>
      <c r="D59" s="1170">
        <v>31887266.848295659</v>
      </c>
      <c r="E59" s="1170"/>
      <c r="F59" s="1170"/>
      <c r="G59" s="1178"/>
      <c r="H59" s="1179"/>
      <c r="L59"/>
      <c r="M59"/>
    </row>
    <row r="60" spans="1:13">
      <c r="A60" s="590">
        <f t="shared" si="4"/>
        <v>40</v>
      </c>
      <c r="B60" s="604" t="s">
        <v>561</v>
      </c>
      <c r="C60" s="1170">
        <v>83064198.99000001</v>
      </c>
      <c r="D60" s="1170">
        <v>32084102.42838674</v>
      </c>
      <c r="E60" s="1170"/>
      <c r="F60" s="1170"/>
      <c r="G60" s="1178"/>
      <c r="H60" s="1179"/>
      <c r="L60"/>
      <c r="M60"/>
    </row>
    <row r="61" spans="1:13">
      <c r="A61" s="589">
        <f t="shared" si="4"/>
        <v>41</v>
      </c>
      <c r="B61" s="603" t="s">
        <v>630</v>
      </c>
      <c r="C61" s="1170">
        <v>83064198.99000001</v>
      </c>
      <c r="D61" s="1170">
        <v>32280938.008477811</v>
      </c>
      <c r="E61" s="1170"/>
      <c r="F61" s="1188"/>
      <c r="G61" s="1178"/>
      <c r="H61" s="1180"/>
      <c r="L61"/>
      <c r="M61"/>
    </row>
    <row r="62" spans="1:13" ht="13.5" thickBot="1">
      <c r="A62" s="588">
        <f t="shared" si="4"/>
        <v>42</v>
      </c>
      <c r="B62" s="774" t="s">
        <v>856</v>
      </c>
      <c r="C62" s="1173">
        <f>SUM(C49:C61)/13</f>
        <v>83064198.99000001</v>
      </c>
      <c r="D62" s="1189">
        <f>SUM(D49:D61)/13</f>
        <v>31099924.527931385</v>
      </c>
      <c r="E62" s="1189">
        <f>ROUND(SUM(E49:E61)/13,-3)</f>
        <v>0</v>
      </c>
      <c r="F62" s="1189">
        <f>ROUND(SUM(F49:F61)/13,-3)</f>
        <v>0</v>
      </c>
      <c r="G62" s="1181"/>
      <c r="H62" s="1182"/>
      <c r="L62"/>
      <c r="M62"/>
    </row>
    <row r="63" spans="1:13" ht="13.5" thickTop="1">
      <c r="A63" s="67"/>
      <c r="B63" s="587"/>
      <c r="C63" s="4"/>
      <c r="D63" s="4"/>
      <c r="E63" s="4"/>
      <c r="F63" s="4"/>
      <c r="L63"/>
      <c r="M63"/>
    </row>
    <row r="64" spans="1:13">
      <c r="A64" s="67">
        <v>43</v>
      </c>
      <c r="B64" s="1058" t="s">
        <v>629</v>
      </c>
      <c r="C64" s="4"/>
      <c r="D64" s="412">
        <f>+E42-D62</f>
        <v>1062670842.06996</v>
      </c>
      <c r="E64" s="4"/>
      <c r="F64" s="4"/>
      <c r="G64" s="4"/>
      <c r="H64" s="4"/>
      <c r="I64" s="586"/>
      <c r="J64" s="4"/>
      <c r="K64" s="4"/>
    </row>
    <row r="65" spans="1:13" ht="12.75" customHeight="1">
      <c r="L65"/>
      <c r="M65"/>
    </row>
    <row r="66" spans="1:13">
      <c r="A66" s="585"/>
      <c r="B66" s="180"/>
      <c r="C66" s="181"/>
      <c r="D66" s="182"/>
      <c r="E66" s="48"/>
      <c r="F66" s="48"/>
      <c r="G66" s="58"/>
      <c r="L66"/>
      <c r="M66"/>
    </row>
    <row r="67" spans="1:13" ht="25.5">
      <c r="A67" s="615" t="s">
        <v>3</v>
      </c>
      <c r="B67" s="180"/>
      <c r="C67" s="612" t="s">
        <v>2</v>
      </c>
      <c r="D67" s="613" t="str">
        <f>"Balance @ December 31, "&amp;TCOS!L4&amp;""</f>
        <v>Balance @ December 31, 2026</v>
      </c>
      <c r="E67" s="614" t="str">
        <f>"Balance @ December 31, "&amp;TCOS!L4-1&amp;""</f>
        <v>Balance @ December 31, 2025</v>
      </c>
      <c r="F67" s="614" t="str">
        <f>"Average Balance for "&amp;TCOS!L4&amp;""</f>
        <v>Average Balance for 2026</v>
      </c>
      <c r="G67" s="58"/>
      <c r="L67"/>
      <c r="M67"/>
    </row>
    <row r="68" spans="1:13">
      <c r="A68" s="62"/>
      <c r="B68" s="591" t="s">
        <v>640</v>
      </c>
      <c r="C68" s="591" t="s">
        <v>639</v>
      </c>
      <c r="D68" s="591" t="s">
        <v>638</v>
      </c>
      <c r="E68" s="591" t="s">
        <v>637</v>
      </c>
      <c r="F68" s="591" t="s">
        <v>636</v>
      </c>
      <c r="G68" s="58"/>
      <c r="L68"/>
      <c r="M68"/>
    </row>
    <row r="69" spans="1:13">
      <c r="A69" s="180">
        <f>+A64+1</f>
        <v>44</v>
      </c>
      <c r="B69" s="62" t="s">
        <v>3</v>
      </c>
      <c r="C69" s="183" t="s">
        <v>374</v>
      </c>
      <c r="D69" s="539">
        <v>3271158.8899999997</v>
      </c>
      <c r="E69" s="539">
        <v>3271158.8899999997</v>
      </c>
      <c r="F69" s="94">
        <f>IF(E69="",0,AVERAGE(D69:E69))</f>
        <v>3271158.8899999997</v>
      </c>
      <c r="L69"/>
      <c r="M69"/>
    </row>
    <row r="70" spans="1:13">
      <c r="A70" s="179"/>
      <c r="B70" s="184"/>
      <c r="C70" s="184"/>
      <c r="F70" s="58"/>
      <c r="L70"/>
      <c r="M70"/>
    </row>
    <row r="71" spans="1:13">
      <c r="A71" s="178">
        <f>+A69+1</f>
        <v>45</v>
      </c>
      <c r="B71" s="62" t="s">
        <v>819</v>
      </c>
      <c r="C71" s="193" t="s">
        <v>67</v>
      </c>
      <c r="D71" s="539">
        <v>1573244.76</v>
      </c>
      <c r="E71" s="539">
        <v>1573244.76</v>
      </c>
      <c r="F71" s="94">
        <f>IF(E71="",0,AVERAGE(D71:E71))</f>
        <v>1573244.76</v>
      </c>
      <c r="L71"/>
      <c r="M71"/>
    </row>
    <row r="72" spans="1:13">
      <c r="A72" s="155"/>
      <c r="B72" s="155"/>
      <c r="C72" s="155"/>
      <c r="D72" s="155"/>
      <c r="L72"/>
      <c r="M72"/>
    </row>
    <row r="73" spans="1:13">
      <c r="A73" s="62" t="s">
        <v>236</v>
      </c>
      <c r="B73" s="155"/>
      <c r="C73" s="155"/>
      <c r="D73" s="155"/>
      <c r="L73"/>
      <c r="M73"/>
    </row>
    <row r="74" spans="1:13">
      <c r="A74" s="182"/>
      <c r="B74" s="182" t="s">
        <v>360</v>
      </c>
      <c r="C74" s="182"/>
      <c r="D74" s="47"/>
      <c r="E74" s="47"/>
      <c r="F74" s="47"/>
      <c r="L74"/>
      <c r="M74"/>
    </row>
    <row r="75" spans="1:13">
      <c r="A75" s="180">
        <f>+A71+1</f>
        <v>46</v>
      </c>
      <c r="B75" s="816" t="s">
        <v>114</v>
      </c>
      <c r="C75" s="730"/>
      <c r="D75" s="539">
        <v>0</v>
      </c>
      <c r="E75" s="539" t="s">
        <v>114</v>
      </c>
      <c r="F75" s="94">
        <f>IF(E75="",0,AVERAGE(D75:E75))</f>
        <v>0</v>
      </c>
      <c r="L75"/>
      <c r="M75"/>
    </row>
    <row r="76" spans="1:13">
      <c r="A76" s="180">
        <f>+A75+1</f>
        <v>47</v>
      </c>
      <c r="B76" s="540"/>
      <c r="C76" s="540"/>
      <c r="D76" s="539"/>
      <c r="E76" s="539"/>
      <c r="F76" s="94">
        <f>IF(E76="",0,AVERAGE(D76:E76))</f>
        <v>0</v>
      </c>
      <c r="L76"/>
      <c r="M76"/>
    </row>
    <row r="77" spans="1:13">
      <c r="A77" s="180">
        <f>+A76+1</f>
        <v>48</v>
      </c>
      <c r="B77" s="540"/>
      <c r="C77" s="540"/>
      <c r="D77" s="539"/>
      <c r="E77" s="539"/>
      <c r="F77" s="94">
        <f>IF(E77="",0,AVERAGE(D77:E77))</f>
        <v>0</v>
      </c>
      <c r="L77"/>
      <c r="M77"/>
    </row>
    <row r="78" spans="1:13">
      <c r="A78" s="180">
        <f>+A77+1</f>
        <v>49</v>
      </c>
      <c r="B78" s="540"/>
      <c r="C78" s="540"/>
      <c r="D78" s="539"/>
      <c r="E78" s="539"/>
      <c r="F78" s="94">
        <f>IF(E78="",0,AVERAGE(D78:E78))</f>
        <v>0</v>
      </c>
      <c r="L78"/>
      <c r="M78"/>
    </row>
    <row r="79" spans="1:13">
      <c r="A79" s="180">
        <f>+A78+1</f>
        <v>50</v>
      </c>
      <c r="B79" s="540"/>
      <c r="C79" s="540"/>
      <c r="D79" s="541"/>
      <c r="E79" s="541"/>
      <c r="F79" s="616">
        <f>IF(E79="",0,AVERAGE(D79:E79))</f>
        <v>0</v>
      </c>
      <c r="L79"/>
      <c r="M79"/>
    </row>
    <row r="80" spans="1:13">
      <c r="A80" s="180">
        <f>+A79+1</f>
        <v>51</v>
      </c>
      <c r="B80" s="182" t="s">
        <v>497</v>
      </c>
      <c r="C80" s="182"/>
      <c r="D80" s="116">
        <f>SUM(D75:D79)</f>
        <v>0</v>
      </c>
      <c r="E80" s="116">
        <f>SUM(E75:E79)</f>
        <v>0</v>
      </c>
      <c r="F80" s="116">
        <f>SUM(F75:F79)</f>
        <v>0</v>
      </c>
      <c r="L80"/>
      <c r="M80"/>
    </row>
    <row r="81" spans="1:13">
      <c r="A81" s="180"/>
      <c r="B81" s="182"/>
      <c r="C81" s="182"/>
      <c r="D81" s="116"/>
      <c r="E81" s="116"/>
      <c r="F81" s="116"/>
      <c r="L81"/>
      <c r="M81"/>
    </row>
    <row r="82" spans="1:13" ht="18">
      <c r="A82" s="62" t="s">
        <v>752</v>
      </c>
      <c r="B82" s="582"/>
      <c r="C82" s="582"/>
      <c r="D82" s="582"/>
      <c r="E82" s="47"/>
      <c r="F82" s="47"/>
      <c r="G82" s="47"/>
      <c r="L82"/>
      <c r="M82"/>
    </row>
    <row r="83" spans="1:13">
      <c r="A83" s="51"/>
      <c r="B83" s="160"/>
      <c r="C83" s="163"/>
      <c r="D83" s="5"/>
      <c r="E83" s="47"/>
      <c r="F83" s="47"/>
      <c r="G83" s="47"/>
      <c r="L83"/>
      <c r="M83"/>
    </row>
    <row r="84" spans="1:13">
      <c r="A84" s="51">
        <f>+A80+1</f>
        <v>52</v>
      </c>
      <c r="B84" s="9" t="s">
        <v>167</v>
      </c>
      <c r="C84" s="9" t="s">
        <v>306</v>
      </c>
      <c r="D84" s="4"/>
      <c r="F84" s="9"/>
      <c r="L84"/>
      <c r="M84"/>
    </row>
    <row r="85" spans="1:13" ht="14.25">
      <c r="A85" s="67" t="s">
        <v>745</v>
      </c>
      <c r="B85" s="983" t="s">
        <v>862</v>
      </c>
      <c r="C85" s="984">
        <v>2282000</v>
      </c>
      <c r="D85" s="539">
        <v>2741808.73</v>
      </c>
      <c r="E85" s="539">
        <v>2741808.73</v>
      </c>
      <c r="F85" s="617">
        <f>IF(E85="",0,AVERAGE(D85:E85))</f>
        <v>2741808.73</v>
      </c>
      <c r="L85"/>
      <c r="M85"/>
    </row>
    <row r="86" spans="1:13" ht="14.25">
      <c r="A86" s="67" t="s">
        <v>746</v>
      </c>
      <c r="B86" s="983"/>
      <c r="C86" s="984"/>
      <c r="D86" s="539"/>
      <c r="E86" s="539"/>
      <c r="F86" s="617">
        <f>IF(E86="",0,AVERAGE(D86:E86))</f>
        <v>0</v>
      </c>
      <c r="L86"/>
      <c r="M86"/>
    </row>
    <row r="87" spans="1:13" ht="14.25">
      <c r="A87" s="67" t="s">
        <v>1078</v>
      </c>
      <c r="B87" s="983"/>
      <c r="C87" s="984"/>
      <c r="D87" s="539"/>
      <c r="E87" s="539"/>
      <c r="F87" s="618">
        <f>IF(E87="",0,AVERAGE(D87:E87))</f>
        <v>0</v>
      </c>
      <c r="L87"/>
      <c r="M87"/>
    </row>
    <row r="88" spans="1:13" ht="18" customHeight="1">
      <c r="A88" s="1">
        <v>54</v>
      </c>
      <c r="C88" s="4" t="s">
        <v>118</v>
      </c>
      <c r="D88" s="412">
        <f>SUM(D85:D87)</f>
        <v>2741808.73</v>
      </c>
      <c r="E88" s="412">
        <f>SUM(E85:E87)</f>
        <v>2741808.73</v>
      </c>
      <c r="F88" s="412">
        <f>SUM(F85:F87)</f>
        <v>2741808.73</v>
      </c>
      <c r="L88"/>
      <c r="M88"/>
    </row>
    <row r="89" spans="1:13">
      <c r="A89" s="180"/>
      <c r="B89" s="182"/>
      <c r="C89" s="182"/>
      <c r="D89" s="182"/>
      <c r="L89"/>
      <c r="M89"/>
    </row>
    <row r="90" spans="1:13">
      <c r="A90" s="48" t="s">
        <v>671</v>
      </c>
      <c r="B90" s="182"/>
      <c r="C90" s="182"/>
      <c r="D90" s="182"/>
      <c r="E90" s="4"/>
      <c r="F90" s="4"/>
      <c r="G90" s="4"/>
      <c r="H90" s="4"/>
      <c r="I90" s="4"/>
      <c r="J90" s="4"/>
      <c r="K90" s="4"/>
    </row>
    <row r="91" spans="1:13">
      <c r="A91" s="48" t="s">
        <v>670</v>
      </c>
      <c r="B91" s="182"/>
      <c r="C91" s="182"/>
      <c r="D91" s="182"/>
      <c r="E91" s="4"/>
      <c r="F91" s="4"/>
      <c r="G91" s="4"/>
      <c r="H91" s="4"/>
      <c r="I91" s="4"/>
      <c r="J91" s="4"/>
      <c r="K91" s="4"/>
    </row>
  </sheetData>
  <mergeCells count="6">
    <mergeCell ref="A1:G1"/>
    <mergeCell ref="A2:G2"/>
    <mergeCell ref="A3:G3"/>
    <mergeCell ref="A4:G4"/>
    <mergeCell ref="C25:M25"/>
    <mergeCell ref="C6:M6"/>
  </mergeCells>
  <pageMargins left="0.7" right="0.7" top="0.75" bottom="0.75" header="0.3" footer="0.3"/>
  <pageSetup scale="47"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I105"/>
  <sheetViews>
    <sheetView topLeftCell="A28" zoomScale="90" zoomScaleNormal="90" zoomScaleSheetLayoutView="70" zoomScalePageLayoutView="85" workbookViewId="0">
      <selection activeCell="E49" sqref="E49"/>
    </sheetView>
  </sheetViews>
  <sheetFormatPr defaultColWidth="11.42578125" defaultRowHeight="12.75" customHeight="1"/>
  <cols>
    <col min="1" max="1" width="10.28515625" customWidth="1"/>
    <col min="2" max="2" width="52.28515625" customWidth="1"/>
    <col min="3" max="7" width="20.28515625" customWidth="1"/>
    <col min="8" max="8" width="23" customWidth="1"/>
    <col min="9" max="12" width="11.42578125" customWidth="1"/>
    <col min="13" max="13" width="12.140625" bestFit="1" customWidth="1"/>
    <col min="14" max="14" width="11.42578125" customWidth="1"/>
  </cols>
  <sheetData>
    <row r="1" spans="1:8" ht="15">
      <c r="A1" s="1235" t="s">
        <v>387</v>
      </c>
      <c r="B1" s="1235"/>
      <c r="C1" s="1235"/>
      <c r="D1" s="1235"/>
      <c r="E1" s="1235"/>
      <c r="F1" s="1235"/>
      <c r="G1" s="1235"/>
      <c r="H1" s="67"/>
    </row>
    <row r="2" spans="1:8" ht="15">
      <c r="A2" s="1236" t="str">
        <f>"Cost of Service Formula Rate Using Actual/Projected FF1 Balances"</f>
        <v>Cost of Service Formula Rate Using Actual/Projected FF1 Balances</v>
      </c>
      <c r="B2" s="1236"/>
      <c r="C2" s="1236"/>
      <c r="D2" s="1236"/>
      <c r="E2" s="1236"/>
      <c r="F2" s="1236"/>
      <c r="G2" s="1236"/>
      <c r="H2" s="620"/>
    </row>
    <row r="3" spans="1:8" ht="15">
      <c r="A3" s="1236" t="s">
        <v>672</v>
      </c>
      <c r="B3" s="1236"/>
      <c r="C3" s="1236"/>
      <c r="D3" s="1236"/>
      <c r="E3" s="1236"/>
      <c r="F3" s="1236"/>
      <c r="G3" s="1236"/>
      <c r="H3" s="620"/>
    </row>
    <row r="4" spans="1:8" ht="15">
      <c r="A4" s="1237" t="str">
        <f>TCOS!F9</f>
        <v>Appalachian Power Company</v>
      </c>
      <c r="B4" s="1237"/>
      <c r="C4" s="1237"/>
      <c r="D4" s="1237"/>
      <c r="E4" s="1237"/>
      <c r="F4" s="1237"/>
      <c r="G4" s="1237"/>
      <c r="H4" s="620"/>
    </row>
    <row r="5" spans="1:8">
      <c r="A5" s="620"/>
      <c r="B5" s="621"/>
      <c r="C5" s="621"/>
      <c r="D5" s="621"/>
      <c r="E5" s="622"/>
      <c r="F5" s="623"/>
      <c r="G5" s="619"/>
    </row>
    <row r="6" spans="1:8" ht="12.75" customHeight="1">
      <c r="A6" s="67"/>
      <c r="B6" s="609"/>
      <c r="C6" s="1295" t="s">
        <v>6</v>
      </c>
      <c r="D6" s="1296"/>
      <c r="E6" s="1296"/>
      <c r="F6" s="1296"/>
      <c r="G6" s="1297"/>
      <c r="H6" s="4"/>
    </row>
    <row r="7" spans="1:8" ht="38.25">
      <c r="A7" s="608" t="s">
        <v>646</v>
      </c>
      <c r="B7" s="607" t="s">
        <v>645</v>
      </c>
      <c r="C7" s="595" t="s">
        <v>673</v>
      </c>
      <c r="D7" s="594" t="s">
        <v>368</v>
      </c>
      <c r="E7" s="594" t="s">
        <v>674</v>
      </c>
      <c r="F7" s="594" t="s">
        <v>675</v>
      </c>
      <c r="G7" s="624" t="s">
        <v>6</v>
      </c>
      <c r="H7" s="4"/>
    </row>
    <row r="8" spans="1:8">
      <c r="A8" s="590"/>
      <c r="B8" s="592" t="s">
        <v>640</v>
      </c>
      <c r="C8" s="593" t="s">
        <v>639</v>
      </c>
      <c r="D8" s="591" t="s">
        <v>638</v>
      </c>
      <c r="E8" s="591" t="s">
        <v>637</v>
      </c>
      <c r="F8" s="591" t="s">
        <v>636</v>
      </c>
      <c r="G8" s="625" t="s">
        <v>676</v>
      </c>
      <c r="H8" s="4"/>
    </row>
    <row r="9" spans="1:8" ht="44.25" customHeight="1">
      <c r="A9" s="590"/>
      <c r="B9" s="592" t="s">
        <v>635</v>
      </c>
      <c r="C9" s="626" t="s">
        <v>677</v>
      </c>
      <c r="D9" s="606" t="s">
        <v>678</v>
      </c>
      <c r="E9" s="606" t="s">
        <v>679</v>
      </c>
      <c r="F9" s="606" t="s">
        <v>680</v>
      </c>
      <c r="G9" s="627"/>
      <c r="H9" s="4"/>
    </row>
    <row r="10" spans="1:8">
      <c r="A10" s="590">
        <v>1</v>
      </c>
      <c r="B10" s="605" t="s">
        <v>633</v>
      </c>
      <c r="C10" s="628">
        <v>6206018892.3185472</v>
      </c>
      <c r="D10" s="993"/>
      <c r="E10" s="628">
        <v>-3463212.63</v>
      </c>
      <c r="F10" s="628">
        <v>10110647.182838678</v>
      </c>
      <c r="G10" s="629">
        <f t="shared" ref="G10:G22" si="0">+C10-D10-E10-F10</f>
        <v>6199371457.7657089</v>
      </c>
      <c r="H10" s="4"/>
    </row>
    <row r="11" spans="1:8">
      <c r="A11" s="590">
        <f t="shared" ref="A11:A23" si="1">+A10+1</f>
        <v>2</v>
      </c>
      <c r="B11" s="605" t="s">
        <v>185</v>
      </c>
      <c r="C11" s="628">
        <v>6267564166.9635096</v>
      </c>
      <c r="D11" s="895"/>
      <c r="E11" s="628">
        <v>-3463212.63</v>
      </c>
      <c r="F11" s="628">
        <v>10036649.709978458</v>
      </c>
      <c r="G11" s="629">
        <f t="shared" si="0"/>
        <v>6260990729.8835316</v>
      </c>
      <c r="H11" s="4"/>
    </row>
    <row r="12" spans="1:8">
      <c r="A12" s="590">
        <f t="shared" si="1"/>
        <v>3</v>
      </c>
      <c r="B12" s="604" t="s">
        <v>559</v>
      </c>
      <c r="C12" s="628">
        <v>6317011442.3570862</v>
      </c>
      <c r="D12" s="895"/>
      <c r="E12" s="628">
        <v>-3463212.63</v>
      </c>
      <c r="F12" s="628">
        <v>9962652.2371182367</v>
      </c>
      <c r="G12" s="629">
        <f t="shared" si="0"/>
        <v>6310512002.7499685</v>
      </c>
      <c r="H12" s="4"/>
    </row>
    <row r="13" spans="1:8">
      <c r="A13" s="590">
        <f t="shared" si="1"/>
        <v>4</v>
      </c>
      <c r="B13" s="604" t="s">
        <v>632</v>
      </c>
      <c r="C13" s="628">
        <v>6362579153.4354792</v>
      </c>
      <c r="D13" s="895"/>
      <c r="E13" s="628">
        <v>-3463212.63</v>
      </c>
      <c r="F13" s="628">
        <v>9888654.7642580178</v>
      </c>
      <c r="G13" s="629">
        <f t="shared" si="0"/>
        <v>6356153711.3012209</v>
      </c>
      <c r="H13" s="4"/>
    </row>
    <row r="14" spans="1:8">
      <c r="A14" s="590">
        <f t="shared" si="1"/>
        <v>5</v>
      </c>
      <c r="B14" s="604" t="s">
        <v>187</v>
      </c>
      <c r="C14" s="628">
        <v>5780090687.5624437</v>
      </c>
      <c r="D14" s="895"/>
      <c r="E14" s="628">
        <v>-3463212.63</v>
      </c>
      <c r="F14" s="628">
        <v>9814657.2913977969</v>
      </c>
      <c r="G14" s="629">
        <f t="shared" si="0"/>
        <v>5773739242.9010458</v>
      </c>
      <c r="H14" s="4"/>
    </row>
    <row r="15" spans="1:8">
      <c r="A15" s="590">
        <f t="shared" si="1"/>
        <v>6</v>
      </c>
      <c r="B15" s="604" t="s">
        <v>188</v>
      </c>
      <c r="C15" s="628">
        <v>4997571795.1598196</v>
      </c>
      <c r="D15" s="895"/>
      <c r="E15" s="628">
        <v>-3463212.63</v>
      </c>
      <c r="F15" s="628">
        <v>9740659.8185375743</v>
      </c>
      <c r="G15" s="629">
        <f t="shared" si="0"/>
        <v>4991294347.971282</v>
      </c>
      <c r="H15" s="4"/>
    </row>
    <row r="16" spans="1:8">
      <c r="A16" s="590">
        <f t="shared" si="1"/>
        <v>7</v>
      </c>
      <c r="B16" s="604" t="s">
        <v>382</v>
      </c>
      <c r="C16" s="628">
        <v>5021141211.5354986</v>
      </c>
      <c r="D16" s="895"/>
      <c r="E16" s="628">
        <v>-3463212.63</v>
      </c>
      <c r="F16" s="628">
        <v>9666662.3456773553</v>
      </c>
      <c r="G16" s="629">
        <f t="shared" si="0"/>
        <v>5014937761.8198214</v>
      </c>
      <c r="H16" s="4"/>
    </row>
    <row r="17" spans="1:8">
      <c r="A17" s="590">
        <f t="shared" si="1"/>
        <v>8</v>
      </c>
      <c r="B17" s="604" t="s">
        <v>189</v>
      </c>
      <c r="C17" s="628">
        <v>5055551661.6374521</v>
      </c>
      <c r="D17" s="895"/>
      <c r="E17" s="628">
        <v>-3463212.63</v>
      </c>
      <c r="F17" s="628">
        <v>9592664.8728171345</v>
      </c>
      <c r="G17" s="629">
        <f t="shared" si="0"/>
        <v>5049422209.3946352</v>
      </c>
      <c r="H17" s="4"/>
    </row>
    <row r="18" spans="1:8">
      <c r="A18" s="590">
        <f t="shared" si="1"/>
        <v>9</v>
      </c>
      <c r="B18" s="604" t="s">
        <v>631</v>
      </c>
      <c r="C18" s="628">
        <v>5084798451.9662933</v>
      </c>
      <c r="D18" s="895"/>
      <c r="E18" s="628">
        <v>-3463212.63</v>
      </c>
      <c r="F18" s="628">
        <v>9518667.3999569137</v>
      </c>
      <c r="G18" s="629">
        <f t="shared" si="0"/>
        <v>5078742997.1963367</v>
      </c>
      <c r="H18" s="4"/>
    </row>
    <row r="19" spans="1:8">
      <c r="A19" s="590">
        <f t="shared" si="1"/>
        <v>10</v>
      </c>
      <c r="B19" s="604" t="s">
        <v>192</v>
      </c>
      <c r="C19" s="628">
        <v>5092496371.1918726</v>
      </c>
      <c r="D19" s="895"/>
      <c r="E19" s="628">
        <v>-3463212.63</v>
      </c>
      <c r="F19" s="628">
        <v>9444669.9270966947</v>
      </c>
      <c r="G19" s="629">
        <f t="shared" si="0"/>
        <v>5086514913.8947763</v>
      </c>
      <c r="H19" s="4"/>
    </row>
    <row r="20" spans="1:8">
      <c r="A20" s="590">
        <f t="shared" si="1"/>
        <v>11</v>
      </c>
      <c r="B20" s="604" t="s">
        <v>560</v>
      </c>
      <c r="C20" s="628">
        <v>5109594886.5550346</v>
      </c>
      <c r="D20" s="895"/>
      <c r="E20" s="628">
        <v>-3463212.63</v>
      </c>
      <c r="F20" s="628">
        <v>9370672.4542364739</v>
      </c>
      <c r="G20" s="629">
        <f t="shared" si="0"/>
        <v>5103687426.7307987</v>
      </c>
      <c r="H20" s="4"/>
    </row>
    <row r="21" spans="1:8">
      <c r="A21" s="590">
        <f t="shared" si="1"/>
        <v>12</v>
      </c>
      <c r="B21" s="604" t="s">
        <v>561</v>
      </c>
      <c r="C21" s="628">
        <v>5134117455.6659327</v>
      </c>
      <c r="D21" s="895"/>
      <c r="E21" s="628">
        <v>-3463212.63</v>
      </c>
      <c r="F21" s="628">
        <v>9296674.9813762531</v>
      </c>
      <c r="G21" s="629">
        <f t="shared" si="0"/>
        <v>5128283993.3145561</v>
      </c>
      <c r="H21" s="4"/>
    </row>
    <row r="22" spans="1:8">
      <c r="A22" s="589">
        <f t="shared" si="1"/>
        <v>13</v>
      </c>
      <c r="B22" s="603" t="s">
        <v>630</v>
      </c>
      <c r="C22" s="628">
        <v>5179367196.1118345</v>
      </c>
      <c r="D22" s="896"/>
      <c r="E22" s="628">
        <v>-3463212.63</v>
      </c>
      <c r="F22" s="628">
        <v>9222677.5085160322</v>
      </c>
      <c r="G22" s="629">
        <f t="shared" si="0"/>
        <v>5173607731.2333183</v>
      </c>
      <c r="H22" s="4"/>
    </row>
    <row r="23" spans="1:8" ht="13.5" thickBot="1">
      <c r="A23" s="602">
        <f t="shared" si="1"/>
        <v>14</v>
      </c>
      <c r="B23" s="601" t="s">
        <v>857</v>
      </c>
      <c r="C23" s="600">
        <f>SUM(C10:C22)/13</f>
        <v>5508300259.4200611</v>
      </c>
      <c r="D23" s="600">
        <f t="shared" ref="D23:G23" si="2">SUM(D10:D22)/13</f>
        <v>0</v>
      </c>
      <c r="E23" s="600">
        <f t="shared" si="2"/>
        <v>-3463212.6300000004</v>
      </c>
      <c r="F23" s="600">
        <f t="shared" si="2"/>
        <v>9666662.3456773534</v>
      </c>
      <c r="G23" s="600">
        <f t="shared" si="2"/>
        <v>5502096809.7043848</v>
      </c>
      <c r="H23" s="996"/>
    </row>
    <row r="24" spans="1:8" ht="13.5" thickTop="1">
      <c r="A24" s="67"/>
      <c r="B24" s="587"/>
      <c r="C24" s="599"/>
      <c r="D24" s="586"/>
      <c r="E24" s="586"/>
      <c r="F24" s="586"/>
      <c r="G24" s="599"/>
      <c r="H24" s="599"/>
    </row>
    <row r="25" spans="1:8" ht="12.75" customHeight="1">
      <c r="A25" s="67"/>
      <c r="B25" s="609"/>
      <c r="C25" s="1298" t="s">
        <v>681</v>
      </c>
      <c r="D25" s="1299"/>
      <c r="E25" s="1299"/>
      <c r="F25" s="1299"/>
      <c r="G25" s="1299"/>
      <c r="H25" s="1300"/>
    </row>
    <row r="26" spans="1:8" ht="38.25">
      <c r="A26" s="608" t="s">
        <v>646</v>
      </c>
      <c r="B26" s="607" t="s">
        <v>645</v>
      </c>
      <c r="C26" s="595" t="s">
        <v>693</v>
      </c>
      <c r="D26" s="594" t="s">
        <v>692</v>
      </c>
      <c r="E26" s="594" t="s">
        <v>691</v>
      </c>
      <c r="F26" s="594" t="s">
        <v>690</v>
      </c>
      <c r="G26" s="594" t="s">
        <v>682</v>
      </c>
      <c r="H26" s="624" t="s">
        <v>626</v>
      </c>
    </row>
    <row r="27" spans="1:8">
      <c r="A27" s="590"/>
      <c r="B27" s="592" t="s">
        <v>640</v>
      </c>
      <c r="C27" s="593" t="s">
        <v>639</v>
      </c>
      <c r="D27" s="591" t="s">
        <v>638</v>
      </c>
      <c r="E27" s="591" t="s">
        <v>637</v>
      </c>
      <c r="F27" s="591" t="s">
        <v>636</v>
      </c>
      <c r="G27" s="591" t="s">
        <v>658</v>
      </c>
      <c r="H27" s="625" t="s">
        <v>683</v>
      </c>
    </row>
    <row r="28" spans="1:8" ht="44.25" customHeight="1">
      <c r="A28" s="590"/>
      <c r="B28" s="592" t="s">
        <v>635</v>
      </c>
      <c r="C28" s="626" t="s">
        <v>684</v>
      </c>
      <c r="D28" s="606" t="s">
        <v>685</v>
      </c>
      <c r="E28" s="606" t="s">
        <v>686</v>
      </c>
      <c r="F28" s="606" t="s">
        <v>687</v>
      </c>
      <c r="G28" s="606" t="s">
        <v>688</v>
      </c>
      <c r="H28" s="630"/>
    </row>
    <row r="29" spans="1:8">
      <c r="A29" s="590">
        <f>+A23+1</f>
        <v>15</v>
      </c>
      <c r="B29" s="605" t="s">
        <v>633</v>
      </c>
      <c r="C29" s="628">
        <v>91919424.989999995</v>
      </c>
      <c r="D29" s="628"/>
      <c r="E29" s="628"/>
      <c r="F29" s="628">
        <v>6257501635.8499994</v>
      </c>
      <c r="G29" s="628"/>
      <c r="H29" s="629">
        <f t="shared" ref="H29:H41" si="3">+C29-D29+E29+F29-G29</f>
        <v>6349421060.8399992</v>
      </c>
    </row>
    <row r="30" spans="1:8">
      <c r="A30" s="590">
        <f t="shared" ref="A30:A42" si="4">+A29+1</f>
        <v>16</v>
      </c>
      <c r="B30" s="605" t="s">
        <v>185</v>
      </c>
      <c r="C30" s="628">
        <v>91919424.989999995</v>
      </c>
      <c r="D30" s="572"/>
      <c r="E30" s="572"/>
      <c r="F30" s="628">
        <v>6257501635.8499994</v>
      </c>
      <c r="G30" s="815"/>
      <c r="H30" s="629">
        <f t="shared" si="3"/>
        <v>6349421060.8399992</v>
      </c>
    </row>
    <row r="31" spans="1:8">
      <c r="A31" s="590">
        <f t="shared" si="4"/>
        <v>17</v>
      </c>
      <c r="B31" s="604" t="s">
        <v>559</v>
      </c>
      <c r="C31" s="628">
        <v>77475636.989999995</v>
      </c>
      <c r="D31" s="572"/>
      <c r="E31" s="572"/>
      <c r="F31" s="628">
        <v>6257501635.8499994</v>
      </c>
      <c r="G31" s="815"/>
      <c r="H31" s="629">
        <f t="shared" si="3"/>
        <v>6334977272.8399992</v>
      </c>
    </row>
    <row r="32" spans="1:8">
      <c r="A32" s="590">
        <f t="shared" si="4"/>
        <v>18</v>
      </c>
      <c r="B32" s="604" t="s">
        <v>632</v>
      </c>
      <c r="C32" s="628">
        <v>77475636.989999995</v>
      </c>
      <c r="D32" s="572"/>
      <c r="E32" s="572"/>
      <c r="F32" s="628">
        <v>6257501635.8499994</v>
      </c>
      <c r="G32" s="815"/>
      <c r="H32" s="629">
        <f t="shared" si="3"/>
        <v>6334977272.8399992</v>
      </c>
    </row>
    <row r="33" spans="1:9">
      <c r="A33" s="590">
        <f t="shared" si="4"/>
        <v>19</v>
      </c>
      <c r="B33" s="604" t="s">
        <v>187</v>
      </c>
      <c r="C33" s="628">
        <v>77475636.989999995</v>
      </c>
      <c r="D33" s="572"/>
      <c r="E33" s="572"/>
      <c r="F33" s="628">
        <v>5557501635.8500004</v>
      </c>
      <c r="G33" s="815"/>
      <c r="H33" s="629">
        <f t="shared" si="3"/>
        <v>5634977272.8400002</v>
      </c>
    </row>
    <row r="34" spans="1:9">
      <c r="A34" s="590">
        <f t="shared" si="4"/>
        <v>20</v>
      </c>
      <c r="B34" s="604" t="s">
        <v>188</v>
      </c>
      <c r="C34" s="628">
        <v>77475636.989999995</v>
      </c>
      <c r="D34" s="572"/>
      <c r="E34" s="572"/>
      <c r="F34" s="628">
        <v>4807501635.8500004</v>
      </c>
      <c r="G34" s="815"/>
      <c r="H34" s="629">
        <f t="shared" si="3"/>
        <v>4884977272.8400002</v>
      </c>
    </row>
    <row r="35" spans="1:9">
      <c r="A35" s="590">
        <f t="shared" si="4"/>
        <v>21</v>
      </c>
      <c r="B35" s="604" t="s">
        <v>382</v>
      </c>
      <c r="C35" s="628">
        <v>77475636.989999995</v>
      </c>
      <c r="D35" s="572"/>
      <c r="E35" s="572"/>
      <c r="F35" s="628">
        <v>4807501635.8500004</v>
      </c>
      <c r="G35" s="815"/>
      <c r="H35" s="629">
        <f t="shared" si="3"/>
        <v>4884977272.8400002</v>
      </c>
    </row>
    <row r="36" spans="1:9">
      <c r="A36" s="590">
        <f t="shared" si="4"/>
        <v>22</v>
      </c>
      <c r="B36" s="604" t="s">
        <v>189</v>
      </c>
      <c r="C36" s="628">
        <v>77475636.989999995</v>
      </c>
      <c r="D36" s="572"/>
      <c r="E36" s="572"/>
      <c r="F36" s="628">
        <v>4807501635.8500004</v>
      </c>
      <c r="G36" s="815"/>
      <c r="H36" s="629">
        <f t="shared" si="3"/>
        <v>4884977272.8400002</v>
      </c>
    </row>
    <row r="37" spans="1:9">
      <c r="A37" s="590">
        <f t="shared" si="4"/>
        <v>23</v>
      </c>
      <c r="B37" s="604" t="s">
        <v>631</v>
      </c>
      <c r="C37" s="628">
        <v>62417396.989999995</v>
      </c>
      <c r="D37" s="572"/>
      <c r="E37" s="572"/>
      <c r="F37" s="628">
        <v>4807501635.8500004</v>
      </c>
      <c r="G37" s="815"/>
      <c r="H37" s="629">
        <f t="shared" si="3"/>
        <v>4869919032.8400002</v>
      </c>
    </row>
    <row r="38" spans="1:9">
      <c r="A38" s="590">
        <f t="shared" si="4"/>
        <v>24</v>
      </c>
      <c r="B38" s="604" t="s">
        <v>192</v>
      </c>
      <c r="C38" s="628">
        <v>62417396.989999995</v>
      </c>
      <c r="D38" s="572"/>
      <c r="E38" s="572"/>
      <c r="F38" s="628">
        <v>4807501635.8500004</v>
      </c>
      <c r="G38" s="815"/>
      <c r="H38" s="629">
        <f t="shared" si="3"/>
        <v>4869919032.8400002</v>
      </c>
    </row>
    <row r="39" spans="1:9">
      <c r="A39" s="590">
        <f t="shared" si="4"/>
        <v>25</v>
      </c>
      <c r="B39" s="604" t="s">
        <v>560</v>
      </c>
      <c r="C39" s="628">
        <v>62417396.989999995</v>
      </c>
      <c r="D39" s="572"/>
      <c r="E39" s="572"/>
      <c r="F39" s="628">
        <v>4807501635.8500004</v>
      </c>
      <c r="G39" s="815"/>
      <c r="H39" s="629">
        <f t="shared" si="3"/>
        <v>4869919032.8400002</v>
      </c>
    </row>
    <row r="40" spans="1:9">
      <c r="A40" s="590">
        <f t="shared" si="4"/>
        <v>26</v>
      </c>
      <c r="B40" s="604" t="s">
        <v>561</v>
      </c>
      <c r="C40" s="628">
        <v>62417396.989999995</v>
      </c>
      <c r="D40" s="572"/>
      <c r="E40" s="572"/>
      <c r="F40" s="628">
        <v>4807501635.8500004</v>
      </c>
      <c r="G40" s="815"/>
      <c r="H40" s="629">
        <f t="shared" si="3"/>
        <v>4869919032.8400002</v>
      </c>
    </row>
    <row r="41" spans="1:9">
      <c r="A41" s="589">
        <f t="shared" si="4"/>
        <v>27</v>
      </c>
      <c r="B41" s="603" t="s">
        <v>630</v>
      </c>
      <c r="C41" s="628">
        <v>62417396.989999995</v>
      </c>
      <c r="D41" s="572"/>
      <c r="E41" s="572"/>
      <c r="F41" s="628">
        <v>4807501635.8500004</v>
      </c>
      <c r="G41" s="628"/>
      <c r="H41" s="629">
        <f t="shared" si="3"/>
        <v>4869919032.8400002</v>
      </c>
    </row>
    <row r="42" spans="1:9" ht="13.5" thickBot="1">
      <c r="A42" s="602">
        <f t="shared" si="4"/>
        <v>28</v>
      </c>
      <c r="B42" s="601" t="s">
        <v>857</v>
      </c>
      <c r="C42" s="600">
        <f t="shared" ref="C42:H42" si="5">SUM(C29:C41)/13</f>
        <v>73906127.451538458</v>
      </c>
      <c r="D42" s="600">
        <f t="shared" si="5"/>
        <v>0</v>
      </c>
      <c r="E42" s="600">
        <f t="shared" si="5"/>
        <v>0</v>
      </c>
      <c r="F42" s="600">
        <f t="shared" si="5"/>
        <v>5311347789.6961527</v>
      </c>
      <c r="G42" s="600">
        <f t="shared" si="5"/>
        <v>0</v>
      </c>
      <c r="H42" s="600">
        <f t="shared" si="5"/>
        <v>5385253917.1476898</v>
      </c>
      <c r="I42" s="889"/>
    </row>
    <row r="43" spans="1:9" ht="13.5" thickTop="1">
      <c r="A43" s="620"/>
      <c r="B43" s="631"/>
      <c r="C43" s="632"/>
      <c r="D43" s="633"/>
      <c r="E43" s="633"/>
      <c r="F43" s="633"/>
      <c r="G43" s="632"/>
      <c r="H43" s="632"/>
    </row>
    <row r="44" spans="1:9" ht="12.75" customHeight="1">
      <c r="A44" s="634" t="s">
        <v>689</v>
      </c>
      <c r="B44" s="619"/>
      <c r="C44" s="619"/>
      <c r="D44" s="619"/>
      <c r="E44" s="619"/>
      <c r="F44" s="348"/>
      <c r="G44" s="348"/>
      <c r="H44" s="348"/>
    </row>
    <row r="45" spans="1:9">
      <c r="A45" s="635"/>
      <c r="B45" s="619"/>
      <c r="C45" s="619"/>
      <c r="D45" s="619"/>
      <c r="E45" s="348"/>
      <c r="F45" s="348"/>
      <c r="G45" s="348"/>
      <c r="H45" s="348"/>
    </row>
    <row r="46" spans="1:9" ht="15">
      <c r="A46" s="636" t="s">
        <v>7</v>
      </c>
      <c r="B46" s="619"/>
      <c r="C46" s="619"/>
      <c r="D46" s="619"/>
      <c r="E46" s="348"/>
      <c r="F46" s="348"/>
      <c r="G46" s="348"/>
      <c r="H46" s="67"/>
    </row>
    <row r="47" spans="1:9" ht="15">
      <c r="A47" s="636"/>
      <c r="B47" s="637" t="s">
        <v>640</v>
      </c>
      <c r="C47" s="637" t="s">
        <v>639</v>
      </c>
      <c r="D47" s="638" t="s">
        <v>638</v>
      </c>
      <c r="E47" s="637" t="s">
        <v>637</v>
      </c>
      <c r="F47" s="638" t="s">
        <v>636</v>
      </c>
      <c r="G47" s="637" t="s">
        <v>658</v>
      </c>
      <c r="H47" s="637" t="s">
        <v>659</v>
      </c>
    </row>
    <row r="48" spans="1:9">
      <c r="A48" s="400">
        <f>+A42+1</f>
        <v>29</v>
      </c>
      <c r="B48" s="639" t="str">
        <f>"Annual Interest Expense for "&amp;TCOS!L4</f>
        <v>Annual Interest Expense for 2026</v>
      </c>
      <c r="C48" s="640"/>
      <c r="D48" s="641"/>
      <c r="E48" s="642"/>
      <c r="F48" s="642"/>
      <c r="G48" s="642"/>
      <c r="H48" s="642"/>
    </row>
    <row r="49" spans="1:8">
      <c r="A49" s="400">
        <f t="shared" ref="A49:A56" si="6">+A48+1</f>
        <v>30</v>
      </c>
      <c r="B49" s="754" t="s">
        <v>761</v>
      </c>
      <c r="C49" s="640"/>
      <c r="D49" s="641"/>
      <c r="E49" s="628">
        <v>251638457.62018916</v>
      </c>
      <c r="F49" s="642"/>
      <c r="G49" s="642"/>
      <c r="H49" s="642"/>
    </row>
    <row r="50" spans="1:8" ht="28.5" customHeight="1">
      <c r="A50" s="400">
        <f t="shared" si="6"/>
        <v>31</v>
      </c>
      <c r="B50" s="1290" t="str">
        <f>"Less: Total Hedge Gain/Expense Accumulated from p 256-257, col. (i) of FERC Form 1  included in Ln "&amp;A49&amp;" and shown in "&amp;A74&amp;" below."</f>
        <v>Less: Total Hedge Gain/Expense Accumulated from p 256-257, col. (i) of FERC Form 1  included in Ln 30 and shown in 50 below.</v>
      </c>
      <c r="C50" s="1291"/>
      <c r="D50" s="641"/>
      <c r="E50" s="640">
        <f>+C74</f>
        <v>-1056830.7858227845</v>
      </c>
      <c r="F50" s="642"/>
      <c r="G50" s="642"/>
      <c r="H50" s="642"/>
    </row>
    <row r="51" spans="1:8" ht="16.5" customHeight="1">
      <c r="A51" s="400">
        <f t="shared" si="6"/>
        <v>32</v>
      </c>
      <c r="B51" s="645" t="str">
        <f>"Plus:  Allowed Hedge Recovery From Ln "&amp;A80&amp;"  below."</f>
        <v>Plus:  Allowed Hedge Recovery From Ln 55  below.</v>
      </c>
      <c r="C51" s="755"/>
      <c r="D51" s="641"/>
      <c r="E51" s="646">
        <f>+E80</f>
        <v>-1056830.7858227845</v>
      </c>
      <c r="F51" s="642"/>
      <c r="G51" s="642"/>
      <c r="H51" s="642"/>
    </row>
    <row r="52" spans="1:8">
      <c r="A52" s="400">
        <f t="shared" si="6"/>
        <v>33</v>
      </c>
      <c r="B52" s="754" t="s">
        <v>762</v>
      </c>
      <c r="C52" s="642"/>
      <c r="D52" s="642"/>
      <c r="E52" s="628">
        <v>4402720.4116699276</v>
      </c>
      <c r="F52" s="642"/>
      <c r="G52" s="642"/>
      <c r="H52" s="642"/>
    </row>
    <row r="53" spans="1:8">
      <c r="A53" s="400">
        <f t="shared" si="6"/>
        <v>34</v>
      </c>
      <c r="B53" s="754" t="s">
        <v>763</v>
      </c>
      <c r="C53" s="647"/>
      <c r="D53" s="641"/>
      <c r="E53" s="628">
        <v>491687.99999999994</v>
      </c>
      <c r="F53" s="642"/>
      <c r="G53" s="642"/>
      <c r="H53" s="642"/>
    </row>
    <row r="54" spans="1:8">
      <c r="A54" s="400">
        <f t="shared" si="6"/>
        <v>35</v>
      </c>
      <c r="B54" s="754" t="s">
        <v>764</v>
      </c>
      <c r="C54" s="647"/>
      <c r="D54" s="641"/>
      <c r="E54" s="644"/>
      <c r="F54" s="642"/>
      <c r="G54" s="642"/>
      <c r="H54" s="642"/>
    </row>
    <row r="55" spans="1:8" ht="13.5" thickBot="1">
      <c r="A55" s="400">
        <f t="shared" si="6"/>
        <v>36</v>
      </c>
      <c r="B55" s="754" t="s">
        <v>765</v>
      </c>
      <c r="C55" s="647"/>
      <c r="D55" s="641"/>
      <c r="E55" s="648"/>
      <c r="F55" s="642"/>
      <c r="G55" s="642"/>
      <c r="H55" s="642"/>
    </row>
    <row r="56" spans="1:8">
      <c r="A56" s="400">
        <f t="shared" si="6"/>
        <v>37</v>
      </c>
      <c r="B56" s="639" t="str">
        <f>"Total Interest Expense (Ln "&amp;A49&amp;" - "&amp;A50&amp;" + "&amp;A52&amp;" + "&amp;A53&amp;" - "&amp;A54&amp;" - "&amp;A55&amp;")"</f>
        <v>Total Interest Expense (Ln 30 - 31 + 33 + 34 - 35 - 36)</v>
      </c>
      <c r="C56" s="649"/>
      <c r="D56" s="650"/>
      <c r="E56" s="651">
        <f>+E49-E50+E51+E52+E53-E54-E55</f>
        <v>256532866.0318591</v>
      </c>
      <c r="F56" s="642"/>
      <c r="G56" s="642"/>
      <c r="H56" s="642"/>
    </row>
    <row r="57" spans="1:8" ht="13.5" thickBot="1">
      <c r="A57" s="400"/>
      <c r="B57" s="643"/>
      <c r="C57" s="647"/>
      <c r="D57" s="641"/>
      <c r="E57" s="651"/>
      <c r="F57" s="642"/>
      <c r="G57" s="642"/>
      <c r="H57" s="642"/>
    </row>
    <row r="58" spans="1:8" ht="13.5" thickBot="1">
      <c r="A58" s="400">
        <f>+A56+1</f>
        <v>38</v>
      </c>
      <c r="B58" s="639" t="str">
        <f>"Average Cost of Debt for "&amp;TCOS!L4&amp;" (Ln "&amp;A56&amp;"/ ln "&amp;A42&amp;" (g))"</f>
        <v>Average Cost of Debt for 2026 (Ln 37/ ln 28 (g))</v>
      </c>
      <c r="C58" s="649"/>
      <c r="D58" s="641"/>
      <c r="E58" s="652">
        <f>+E56/H42</f>
        <v>4.7636169060665617E-2</v>
      </c>
      <c r="F58" s="642"/>
      <c r="G58" s="642"/>
      <c r="H58" s="642"/>
    </row>
    <row r="59" spans="1:8">
      <c r="A59" s="653"/>
      <c r="B59" s="643"/>
      <c r="C59" s="647"/>
      <c r="D59" s="641"/>
      <c r="E59" s="647"/>
      <c r="F59" s="642"/>
      <c r="G59" s="642"/>
      <c r="H59" s="642"/>
    </row>
    <row r="60" spans="1:8" ht="28.5" customHeight="1">
      <c r="A60" s="497"/>
      <c r="B60" s="1292" t="s">
        <v>0</v>
      </c>
      <c r="C60" s="1292"/>
      <c r="D60" s="1292"/>
      <c r="E60" s="1292"/>
      <c r="F60" s="498"/>
      <c r="G60" s="654"/>
      <c r="H60" s="654"/>
    </row>
    <row r="61" spans="1:8" ht="107.25" customHeight="1">
      <c r="A61" s="499">
        <f>+A58+1</f>
        <v>39</v>
      </c>
      <c r="B61" s="1293" t="s">
        <v>312</v>
      </c>
      <c r="C61" s="1271"/>
      <c r="D61" s="1271"/>
      <c r="E61" s="1271"/>
      <c r="F61" s="348"/>
      <c r="G61" s="654"/>
      <c r="H61" s="654"/>
    </row>
    <row r="62" spans="1:8" ht="12" customHeight="1">
      <c r="A62" s="497"/>
      <c r="B62" s="500"/>
      <c r="C62" s="500"/>
      <c r="D62" s="500"/>
      <c r="E62" s="500"/>
      <c r="F62" s="654"/>
      <c r="G62" s="1294" t="s">
        <v>232</v>
      </c>
      <c r="H62" s="1294"/>
    </row>
    <row r="63" spans="1:8" ht="52.5" customHeight="1">
      <c r="A63" s="357"/>
      <c r="B63" s="656" t="s">
        <v>359</v>
      </c>
      <c r="C63" s="655" t="str">
        <f>"Total Hedge (Gain)/Loss for "&amp;TCOS!L4</f>
        <v>Total Hedge (Gain)/Loss for 2026</v>
      </c>
      <c r="D63" s="655" t="str">
        <f>"Less Excludable Amounts (See NOTE on Line "&amp;A61&amp;")"</f>
        <v>Less Excludable Amounts (See NOTE on Line 39)</v>
      </c>
      <c r="E63" s="655" t="s">
        <v>1</v>
      </c>
      <c r="F63" s="655" t="s">
        <v>231</v>
      </c>
      <c r="G63" s="655" t="s">
        <v>283</v>
      </c>
      <c r="H63" s="655" t="s">
        <v>285</v>
      </c>
    </row>
    <row r="64" spans="1:8" ht="12.75" customHeight="1">
      <c r="A64" s="357">
        <f>+A61+1</f>
        <v>40</v>
      </c>
      <c r="B64" s="657" t="s">
        <v>1208</v>
      </c>
      <c r="C64" s="644">
        <v>0</v>
      </c>
      <c r="D64" s="644">
        <v>0</v>
      </c>
      <c r="E64" s="658">
        <f>+C64-D64</f>
        <v>0</v>
      </c>
      <c r="F64" s="644">
        <v>0</v>
      </c>
      <c r="G64" s="962">
        <v>38353</v>
      </c>
      <c r="H64" s="962">
        <v>41821</v>
      </c>
    </row>
    <row r="65" spans="1:8" ht="12.75" customHeight="1">
      <c r="A65" s="357">
        <f t="shared" ref="A65:A74" si="7">+A64+1</f>
        <v>41</v>
      </c>
      <c r="B65" s="657" t="s">
        <v>1209</v>
      </c>
      <c r="C65" s="644">
        <v>0</v>
      </c>
      <c r="D65" s="644">
        <v>0</v>
      </c>
      <c r="E65" s="658">
        <f>+C65-D65</f>
        <v>0</v>
      </c>
      <c r="F65" s="644">
        <v>0</v>
      </c>
      <c r="G65" s="962">
        <v>38504</v>
      </c>
      <c r="H65" s="962">
        <v>42125</v>
      </c>
    </row>
    <row r="66" spans="1:8" ht="12.75" customHeight="1">
      <c r="A66" s="357">
        <f t="shared" si="7"/>
        <v>42</v>
      </c>
      <c r="B66" s="657" t="s">
        <v>1210</v>
      </c>
      <c r="C66" s="644">
        <v>0</v>
      </c>
      <c r="D66" s="644">
        <v>0</v>
      </c>
      <c r="E66" s="658">
        <f t="shared" ref="E66:E71" si="8">+C66-D66</f>
        <v>0</v>
      </c>
      <c r="F66" s="644">
        <v>0</v>
      </c>
      <c r="G66" s="962">
        <v>38596</v>
      </c>
      <c r="H66" s="962">
        <v>42248</v>
      </c>
    </row>
    <row r="67" spans="1:8" ht="12.75" customHeight="1">
      <c r="A67" s="357">
        <f t="shared" si="7"/>
        <v>43</v>
      </c>
      <c r="B67" s="657" t="s">
        <v>1211</v>
      </c>
      <c r="C67" s="644">
        <v>37070.954177215172</v>
      </c>
      <c r="D67" s="644">
        <v>0</v>
      </c>
      <c r="E67" s="658">
        <f t="shared" si="8"/>
        <v>37070.954177215172</v>
      </c>
      <c r="F67" s="644">
        <v>308927.78000000003</v>
      </c>
      <c r="G67" s="962">
        <v>37742</v>
      </c>
      <c r="H67" s="962">
        <v>48700</v>
      </c>
    </row>
    <row r="68" spans="1:8" ht="12.75" customHeight="1">
      <c r="A68" s="357">
        <f t="shared" si="7"/>
        <v>44</v>
      </c>
      <c r="B68" s="657" t="s">
        <v>1212</v>
      </c>
      <c r="C68" s="644">
        <v>-194198.40000000037</v>
      </c>
      <c r="D68" s="644">
        <v>0</v>
      </c>
      <c r="E68" s="658">
        <f t="shared" si="8"/>
        <v>-194198.40000000037</v>
      </c>
      <c r="F68" s="644">
        <v>-2184733.2199999997</v>
      </c>
      <c r="G68" s="962">
        <v>38808</v>
      </c>
      <c r="H68" s="962">
        <v>49766</v>
      </c>
    </row>
    <row r="69" spans="1:8" ht="12.75" customHeight="1">
      <c r="A69" s="357">
        <f t="shared" si="7"/>
        <v>45</v>
      </c>
      <c r="B69" s="657" t="s">
        <v>1213</v>
      </c>
      <c r="C69" s="644">
        <v>159670.56000000006</v>
      </c>
      <c r="D69" s="644">
        <v>0</v>
      </c>
      <c r="E69" s="658">
        <f t="shared" si="8"/>
        <v>159670.56000000006</v>
      </c>
      <c r="F69" s="644">
        <v>2108981.1800000002</v>
      </c>
      <c r="G69" s="962">
        <v>39508</v>
      </c>
      <c r="H69" s="962">
        <v>50496</v>
      </c>
    </row>
    <row r="70" spans="1:8" ht="12.75" customHeight="1">
      <c r="A70" s="357">
        <f t="shared" si="7"/>
        <v>46</v>
      </c>
      <c r="B70" s="657" t="s">
        <v>1214</v>
      </c>
      <c r="C70" s="644">
        <v>0</v>
      </c>
      <c r="D70" s="644">
        <v>0</v>
      </c>
      <c r="E70" s="658">
        <f t="shared" si="8"/>
        <v>0</v>
      </c>
      <c r="F70" s="644">
        <v>0</v>
      </c>
      <c r="G70" s="962">
        <v>40322</v>
      </c>
      <c r="H70" s="962">
        <v>42125</v>
      </c>
    </row>
    <row r="71" spans="1:8" ht="12.75" customHeight="1">
      <c r="A71" s="357">
        <f t="shared" si="7"/>
        <v>47</v>
      </c>
      <c r="B71" s="657" t="s">
        <v>1215</v>
      </c>
      <c r="C71" s="644">
        <v>0</v>
      </c>
      <c r="D71" s="644">
        <v>0</v>
      </c>
      <c r="E71" s="658">
        <f t="shared" si="8"/>
        <v>0</v>
      </c>
      <c r="F71" s="644">
        <v>0</v>
      </c>
      <c r="G71" s="962">
        <v>40603</v>
      </c>
      <c r="H71" s="962">
        <v>44256</v>
      </c>
    </row>
    <row r="72" spans="1:8" ht="12.75" customHeight="1">
      <c r="A72" s="357">
        <f t="shared" si="7"/>
        <v>48</v>
      </c>
      <c r="B72" s="657" t="s">
        <v>1216</v>
      </c>
      <c r="C72" s="644">
        <v>-1059373.8999999994</v>
      </c>
      <c r="D72" s="644">
        <v>0</v>
      </c>
      <c r="E72" s="658">
        <f t="shared" ref="E72" si="9">+C72-D72</f>
        <v>-1059373.8999999994</v>
      </c>
      <c r="F72" s="644">
        <v>-6561284.75</v>
      </c>
      <c r="G72" s="962">
        <v>44286</v>
      </c>
      <c r="H72" s="962">
        <v>47938</v>
      </c>
    </row>
    <row r="73" spans="1:8" ht="12.75" customHeight="1">
      <c r="A73" s="357">
        <f t="shared" si="7"/>
        <v>49</v>
      </c>
      <c r="B73" s="4"/>
      <c r="C73" s="659"/>
      <c r="D73" s="659"/>
      <c r="E73" s="660"/>
      <c r="F73" s="660"/>
      <c r="G73" s="654"/>
      <c r="H73" s="654"/>
    </row>
    <row r="74" spans="1:8" ht="12.75" customHeight="1">
      <c r="A74" s="357">
        <f t="shared" si="7"/>
        <v>50</v>
      </c>
      <c r="B74" s="643" t="s">
        <v>8</v>
      </c>
      <c r="C74" s="651">
        <f>SUM(C64:C72)</f>
        <v>-1056830.7858227845</v>
      </c>
      <c r="D74" s="651">
        <f>SUM(D64:D72)</f>
        <v>0</v>
      </c>
      <c r="E74" s="654"/>
      <c r="F74" s="658">
        <f>SUM(F64:F72)</f>
        <v>-6328109.0099999998</v>
      </c>
      <c r="G74" s="654"/>
      <c r="H74" s="654"/>
    </row>
    <row r="75" spans="1:8" ht="21" customHeight="1">
      <c r="A75" s="357"/>
      <c r="B75" s="643"/>
      <c r="C75" s="651"/>
      <c r="D75" s="651"/>
      <c r="E75" s="651"/>
      <c r="F75" s="654"/>
      <c r="G75" s="654"/>
      <c r="H75" s="654"/>
    </row>
    <row r="76" spans="1:8" ht="14.25" customHeight="1">
      <c r="A76" s="357">
        <f>+A74+1</f>
        <v>51</v>
      </c>
      <c r="B76" s="643" t="str">
        <f>"Hedge Gain or Loss Prior to Application of Recovery Limit (Sum of Lines "&amp;A64&amp;" to "&amp;A72&amp;")"</f>
        <v>Hedge Gain or Loss Prior to Application of Recovery Limit (Sum of Lines 40 to 48)</v>
      </c>
      <c r="C76" s="651"/>
      <c r="D76" s="651"/>
      <c r="E76" s="651">
        <f>SUM(E64:E72)</f>
        <v>-1056830.7858227845</v>
      </c>
      <c r="F76" s="654"/>
      <c r="G76" s="654"/>
      <c r="H76" s="654"/>
    </row>
    <row r="77" spans="1:8" ht="12.75" customHeight="1">
      <c r="A77" s="357">
        <f>+A76+1</f>
        <v>52</v>
      </c>
      <c r="B77" s="661" t="str">
        <f>"Total Average Capital Structure Balance for "&amp;TCOS!L4&amp;" (TCOS, Ln "&amp;TCOS!B274&amp;")"</f>
        <v>Total Average Capital Structure Balance for 2026 (TCOS, Ln 157)</v>
      </c>
      <c r="C77" s="647"/>
      <c r="D77" s="641"/>
      <c r="E77" s="662">
        <f>TCOS!G274</f>
        <v>10887350726.852074</v>
      </c>
      <c r="F77" s="654"/>
      <c r="G77" s="654"/>
      <c r="H77" s="658"/>
    </row>
    <row r="78" spans="1:8" ht="12.75" customHeight="1">
      <c r="A78" s="357">
        <f>+A77+1</f>
        <v>53</v>
      </c>
      <c r="B78" s="643" t="s">
        <v>489</v>
      </c>
      <c r="C78" s="647"/>
      <c r="D78" s="641"/>
      <c r="E78" s="663">
        <v>5.0000000000000001E-4</v>
      </c>
      <c r="F78" s="654"/>
      <c r="G78" s="664"/>
      <c r="H78" s="654"/>
    </row>
    <row r="79" spans="1:8" ht="12.75" customHeight="1" thickBot="1">
      <c r="A79" s="357">
        <f>+A78+1</f>
        <v>54</v>
      </c>
      <c r="B79" s="643" t="s">
        <v>490</v>
      </c>
      <c r="C79" s="647"/>
      <c r="D79" s="641"/>
      <c r="E79" s="665">
        <f>+E77*E78</f>
        <v>5443675.3634260371</v>
      </c>
      <c r="F79" s="654"/>
      <c r="G79" s="654"/>
      <c r="H79" s="654"/>
    </row>
    <row r="80" spans="1:8" ht="12.75" customHeight="1" thickBot="1">
      <c r="A80" s="357">
        <f>+A79+1</f>
        <v>55</v>
      </c>
      <c r="B80" s="639" t="str">
        <f>"Recoverable Hedge Amortization (Lesser of Ln "&amp;A76&amp;" or Ln "&amp;A79&amp;")"</f>
        <v>Recoverable Hedge Amortization (Lesser of Ln 51 or Ln 54)</v>
      </c>
      <c r="C80" s="647"/>
      <c r="D80" s="641"/>
      <c r="E80" s="666">
        <f>+IF(E79&lt;E76,E79,E76)</f>
        <v>-1056830.7858227845</v>
      </c>
      <c r="F80" s="654"/>
      <c r="G80" s="654"/>
      <c r="H80" s="654"/>
    </row>
    <row r="81" spans="1:8" ht="12.75" customHeight="1">
      <c r="A81" s="357"/>
      <c r="B81" s="643"/>
      <c r="C81" s="647"/>
      <c r="D81" s="641"/>
      <c r="E81" s="647"/>
      <c r="F81" s="654"/>
      <c r="G81" s="654"/>
      <c r="H81" s="654"/>
    </row>
    <row r="82" spans="1:8" ht="12.75" customHeight="1">
      <c r="A82" s="667" t="s">
        <v>9</v>
      </c>
      <c r="B82" s="668"/>
      <c r="C82" s="647"/>
      <c r="D82" s="641"/>
      <c r="E82" s="647"/>
      <c r="F82" s="654"/>
      <c r="G82" s="654"/>
      <c r="H82" s="654"/>
    </row>
    <row r="83" spans="1:8" ht="12.75" customHeight="1">
      <c r="A83" s="357"/>
      <c r="B83" s="643"/>
      <c r="C83" s="647"/>
      <c r="D83" s="641"/>
      <c r="E83" s="647"/>
      <c r="F83" s="654"/>
      <c r="G83" s="654"/>
      <c r="H83" s="654"/>
    </row>
    <row r="84" spans="1:8" ht="12.75" customHeight="1">
      <c r="A84" s="357"/>
      <c r="B84" s="669" t="s">
        <v>258</v>
      </c>
      <c r="C84" s="670"/>
      <c r="D84" s="641"/>
      <c r="E84" s="670" t="s">
        <v>506</v>
      </c>
      <c r="F84" s="654"/>
      <c r="G84" s="654"/>
      <c r="H84" s="654"/>
    </row>
    <row r="85" spans="1:8" ht="12.75" customHeight="1">
      <c r="A85" s="357">
        <f>+A80+1</f>
        <v>56</v>
      </c>
      <c r="B85" s="641" t="str">
        <f>""&amp;C$85*100&amp;"% Series - "&amp;C$86&amp;" - Dividend Rate (p. 250-251)"</f>
        <v>0% Series - 0 - Dividend Rate (p. 250-251)</v>
      </c>
      <c r="C85" s="671">
        <v>0</v>
      </c>
      <c r="D85" s="671">
        <v>0</v>
      </c>
      <c r="E85" s="670"/>
      <c r="F85" s="654"/>
      <c r="G85" s="654"/>
      <c r="H85" s="654"/>
    </row>
    <row r="86" spans="1:8" ht="12.75" customHeight="1">
      <c r="A86" s="357">
        <f>+A85+1</f>
        <v>57</v>
      </c>
      <c r="B86" s="641" t="str">
        <f>""&amp;C$85*100&amp;"% Series - "&amp;C$86&amp;" - Par Value (p. 250-251)"</f>
        <v>0% Series - 0 - Par Value (p. 250-251)</v>
      </c>
      <c r="C86" s="672">
        <v>0</v>
      </c>
      <c r="D86" s="672">
        <v>0</v>
      </c>
      <c r="E86" s="670"/>
      <c r="F86" s="654"/>
      <c r="G86" s="654"/>
      <c r="H86" s="654"/>
    </row>
    <row r="87" spans="1:8" ht="12.75" customHeight="1">
      <c r="A87" s="357">
        <f>+A86+1</f>
        <v>58</v>
      </c>
      <c r="B87" s="641" t="str">
        <f>""&amp;C$85*100&amp;"% Series - "&amp;C$86&amp;" - Shares O/S (p.250-251) "</f>
        <v xml:space="preserve">0% Series - 0 - Shares O/S (p.250-251) </v>
      </c>
      <c r="C87" s="644">
        <v>0</v>
      </c>
      <c r="D87" s="644">
        <v>0</v>
      </c>
      <c r="E87" s="673"/>
      <c r="F87" s="654"/>
      <c r="G87" s="654"/>
      <c r="H87" s="654"/>
    </row>
    <row r="88" spans="1:8" ht="12.75" customHeight="1">
      <c r="A88" s="357">
        <f>+A87+1</f>
        <v>59</v>
      </c>
      <c r="B88" s="641" t="str">
        <f>""&amp;C$85*100&amp;"% Series - "&amp;C$86&amp;" - Monetary Value (Ln "&amp;A86&amp;" * Ln "&amp;A87&amp;")"</f>
        <v>0% Series - 0 - Monetary Value (Ln 57 * Ln 58)</v>
      </c>
      <c r="C88" s="674">
        <v>0</v>
      </c>
      <c r="D88" s="674">
        <v>0</v>
      </c>
      <c r="E88" s="396">
        <f>IF(C88=D88=0,0,AVERAGE(C88:D88))</f>
        <v>0</v>
      </c>
      <c r="F88" s="654"/>
      <c r="G88" s="654"/>
      <c r="H88" s="654"/>
    </row>
    <row r="89" spans="1:8" ht="12.75" customHeight="1">
      <c r="A89" s="357">
        <f>+A88+1</f>
        <v>60</v>
      </c>
      <c r="B89" s="641" t="str">
        <f>""&amp;C$85*100&amp;"% Series - "&amp;C$86&amp;" -  Dividend Amount (Ln "&amp;A85&amp;" * Ln "&amp;A88&amp;")"</f>
        <v>0% Series - 0 -  Dividend Amount (Ln 56 * Ln 59)</v>
      </c>
      <c r="C89" s="674">
        <v>0</v>
      </c>
      <c r="D89" s="674">
        <v>0</v>
      </c>
      <c r="E89" s="396">
        <f>IF(C89=D89=0,0,AVERAGE(C89:D89))</f>
        <v>0</v>
      </c>
      <c r="F89" s="654"/>
      <c r="G89" s="654"/>
      <c r="H89" s="654"/>
    </row>
    <row r="90" spans="1:8" ht="12.75" customHeight="1">
      <c r="A90" s="357"/>
      <c r="B90" s="641"/>
      <c r="C90" s="674"/>
      <c r="D90" s="664"/>
      <c r="E90" s="675"/>
      <c r="F90" s="654"/>
      <c r="G90" s="654"/>
      <c r="H90" s="654"/>
    </row>
    <row r="91" spans="1:8" ht="12.75" customHeight="1">
      <c r="A91" s="357">
        <f>+A89+1</f>
        <v>61</v>
      </c>
      <c r="B91" s="641" t="str">
        <f>""&amp;C$91*100&amp;"% Series - "&amp;C$92&amp;" - Dividend Rate (p. 250-251)"</f>
        <v>0% Series - 0 - Dividend Rate (p. 250-251)</v>
      </c>
      <c r="C91" s="671">
        <v>0</v>
      </c>
      <c r="D91" s="671">
        <v>0</v>
      </c>
      <c r="E91" s="675"/>
      <c r="F91" s="654"/>
      <c r="G91" s="654"/>
      <c r="H91" s="654"/>
    </row>
    <row r="92" spans="1:8" ht="12.75" customHeight="1">
      <c r="A92" s="357">
        <f>+A91+1</f>
        <v>62</v>
      </c>
      <c r="B92" s="641" t="str">
        <f>""&amp;C$91*100&amp;"% Series - "&amp;C$92&amp;" - Par Value (p. 250-251)"</f>
        <v>0% Series - 0 - Par Value (p. 250-251)</v>
      </c>
      <c r="C92" s="672">
        <v>0</v>
      </c>
      <c r="D92" s="672">
        <v>0</v>
      </c>
      <c r="E92" s="675"/>
      <c r="F92" s="654"/>
      <c r="G92" s="654"/>
      <c r="H92" s="654"/>
    </row>
    <row r="93" spans="1:8" ht="12.75" customHeight="1">
      <c r="A93" s="357">
        <f>+A92+1</f>
        <v>63</v>
      </c>
      <c r="B93" s="641" t="str">
        <f>""&amp;C$91*100&amp;"% Series - "&amp;C$92&amp;" - Shares O/S (p.250-251) "</f>
        <v xml:space="preserve">0% Series - 0 - Shares O/S (p.250-251) </v>
      </c>
      <c r="C93" s="644">
        <v>0</v>
      </c>
      <c r="D93" s="644">
        <v>0</v>
      </c>
      <c r="E93" s="675"/>
      <c r="F93" s="654"/>
      <c r="G93" s="654"/>
      <c r="H93" s="654"/>
    </row>
    <row r="94" spans="1:8" ht="12.75" customHeight="1">
      <c r="A94" s="357">
        <f>+A93+1</f>
        <v>64</v>
      </c>
      <c r="B94" s="641" t="str">
        <f>""&amp;C$91*100&amp;"% Series - "&amp;C$92&amp;" - Monetary Value (Ln "&amp;A92&amp;" * Ln "&amp;A93&amp;")"</f>
        <v>0% Series - 0 - Monetary Value (Ln 62 * Ln 63)</v>
      </c>
      <c r="C94" s="640">
        <v>0</v>
      </c>
      <c r="D94" s="640">
        <v>0</v>
      </c>
      <c r="E94" s="396">
        <f>IF(C94=D94=0,0,AVERAGE(C94:D94))</f>
        <v>0</v>
      </c>
      <c r="F94" s="654"/>
      <c r="G94" s="654"/>
      <c r="H94" s="654"/>
    </row>
    <row r="95" spans="1:8" ht="12.75" customHeight="1">
      <c r="A95" s="357">
        <f>+A94+1</f>
        <v>65</v>
      </c>
      <c r="B95" s="641" t="str">
        <f>""&amp;C$91*100&amp;"% Series - "&amp;C$92&amp;" -  Dividend Amount (Ln "&amp;A91&amp;" * Ln "&amp;A94&amp;")"</f>
        <v>0% Series - 0 -  Dividend Amount (Ln 61 * Ln 64)</v>
      </c>
      <c r="C95" s="640">
        <v>0</v>
      </c>
      <c r="D95" s="640">
        <v>0</v>
      </c>
      <c r="E95" s="396">
        <f>IF(C95=D95=0,0,AVERAGE(C95:D95))</f>
        <v>0</v>
      </c>
      <c r="F95" s="654"/>
      <c r="G95" s="654"/>
      <c r="H95" s="654"/>
    </row>
    <row r="96" spans="1:8" ht="12.75" customHeight="1">
      <c r="A96" s="357"/>
      <c r="B96" s="641"/>
      <c r="C96" s="640"/>
      <c r="D96" s="640"/>
      <c r="E96" s="396"/>
      <c r="F96" s="654"/>
      <c r="G96" s="654"/>
      <c r="H96" s="654"/>
    </row>
    <row r="97" spans="1:8" ht="12.75" customHeight="1">
      <c r="A97" s="357">
        <f>+A95+1</f>
        <v>66</v>
      </c>
      <c r="B97" s="641" t="str">
        <f>""&amp;C$97*100&amp;"% Series - "&amp;C$98&amp;" - Dividend Rate (p. 250-251)"</f>
        <v>0% Series - 0 - Dividend Rate (p. 250-251)</v>
      </c>
      <c r="C97" s="671">
        <v>0</v>
      </c>
      <c r="D97" s="671">
        <v>0</v>
      </c>
      <c r="E97" s="396"/>
      <c r="F97" s="654"/>
      <c r="G97" s="654"/>
      <c r="H97" s="654"/>
    </row>
    <row r="98" spans="1:8" ht="12.75" customHeight="1">
      <c r="A98" s="357">
        <f>+A97+1</f>
        <v>67</v>
      </c>
      <c r="B98" s="641" t="str">
        <f>""&amp;C$97*100&amp;"% Series - "&amp;C$98&amp;" - Par Value (p. 250-251)"</f>
        <v>0% Series - 0 - Par Value (p. 250-251)</v>
      </c>
      <c r="C98" s="672">
        <v>0</v>
      </c>
      <c r="D98" s="672">
        <v>0</v>
      </c>
      <c r="E98" s="396"/>
      <c r="F98" s="654"/>
      <c r="G98" s="654"/>
      <c r="H98" s="654"/>
    </row>
    <row r="99" spans="1:8" ht="12.75" customHeight="1">
      <c r="A99" s="357">
        <f>+A98+1</f>
        <v>68</v>
      </c>
      <c r="B99" s="641" t="str">
        <f>""&amp;C$97*100&amp;"% Series - "&amp;C$98&amp;" - Shares O/S (p.250-251) "</f>
        <v xml:space="preserve">0% Series - 0 - Shares O/S (p.250-251) </v>
      </c>
      <c r="C99" s="644">
        <v>0</v>
      </c>
      <c r="D99" s="644">
        <v>0</v>
      </c>
      <c r="E99" s="675"/>
      <c r="F99" s="654"/>
      <c r="G99" s="654"/>
      <c r="H99" s="654"/>
    </row>
    <row r="100" spans="1:8" ht="12.75" customHeight="1">
      <c r="A100" s="357">
        <f>+A99+1</f>
        <v>69</v>
      </c>
      <c r="B100" s="641" t="str">
        <f>""&amp;C$97*100&amp;"% Series - "&amp;C$98&amp;" - Monetary Value (Ln "&amp;A98&amp;" * Ln "&amp;A99&amp;")"</f>
        <v>0% Series - 0 - Monetary Value (Ln 67 * Ln 68)</v>
      </c>
      <c r="C100" s="640">
        <f>+C99*C98</f>
        <v>0</v>
      </c>
      <c r="D100" s="640">
        <f>+D99*D98</f>
        <v>0</v>
      </c>
      <c r="E100" s="396">
        <f>IF(C100=D100=0,0,AVERAGE(C100:D100))</f>
        <v>0</v>
      </c>
      <c r="F100" s="654"/>
      <c r="G100" s="654"/>
      <c r="H100" s="654"/>
    </row>
    <row r="101" spans="1:8" ht="12.75" customHeight="1">
      <c r="A101" s="357">
        <f>+A100+1</f>
        <v>70</v>
      </c>
      <c r="B101" s="641" t="str">
        <f>""&amp;C$97*100&amp;"% Series - "&amp;C$98&amp;" -  Dividend Amount (Ln "&amp;A97&amp;" * Ln "&amp;A100&amp;")"</f>
        <v>0% Series - 0 -  Dividend Amount (Ln 66 * Ln 69)</v>
      </c>
      <c r="C101" s="640">
        <f>+C100*C97</f>
        <v>0</v>
      </c>
      <c r="D101" s="640">
        <f>+D100*D97</f>
        <v>0</v>
      </c>
      <c r="E101" s="396">
        <f>IF(C101=D101=0,0,AVERAGE(C101:D101))</f>
        <v>0</v>
      </c>
      <c r="F101" s="654"/>
      <c r="G101" s="654"/>
      <c r="H101" s="654"/>
    </row>
    <row r="102" spans="1:8" ht="12.75" customHeight="1">
      <c r="A102" s="357"/>
      <c r="B102" s="641"/>
      <c r="C102" s="640"/>
      <c r="D102" s="640"/>
      <c r="E102" s="654"/>
      <c r="F102" s="654"/>
      <c r="G102" s="654"/>
      <c r="H102" s="654"/>
    </row>
    <row r="103" spans="1:8" ht="12.75" customHeight="1">
      <c r="A103" s="357">
        <f>+A101+1</f>
        <v>71</v>
      </c>
      <c r="B103" s="650" t="str">
        <f>"Balance of Preferred Stock (Lns "&amp;A88&amp;", "&amp;A94&amp;", "&amp;A100&amp;")"</f>
        <v>Balance of Preferred Stock (Lns 59, 64, 69)</v>
      </c>
      <c r="C103" s="640">
        <f>+C88+C94+C100</f>
        <v>0</v>
      </c>
      <c r="D103" s="640">
        <f>+D88+D94+D100</f>
        <v>0</v>
      </c>
      <c r="E103" s="676">
        <f>+E88+E94+E100</f>
        <v>0</v>
      </c>
      <c r="F103" s="641" t="s">
        <v>313</v>
      </c>
      <c r="G103" s="654"/>
      <c r="H103" s="654"/>
    </row>
    <row r="104" spans="1:8" ht="12.75" customHeight="1" thickBot="1">
      <c r="A104" s="357">
        <f>+A103+1</f>
        <v>72</v>
      </c>
      <c r="B104" s="650" t="str">
        <f>"Dividends on Preferred Stock (Lns "&amp;A89&amp;", "&amp;A95&amp;", "&amp;A101&amp;")"</f>
        <v>Dividends on Preferred Stock (Lns 60, 65, 70)</v>
      </c>
      <c r="C104" s="677">
        <f>+C95+C89+C101</f>
        <v>0</v>
      </c>
      <c r="D104" s="677">
        <f>+D95+D89+D101</f>
        <v>0</v>
      </c>
      <c r="E104" s="678">
        <f>+E101+E95+E89</f>
        <v>0</v>
      </c>
      <c r="F104" s="654"/>
      <c r="G104" s="654"/>
      <c r="H104" s="654"/>
    </row>
    <row r="105" spans="1:8" ht="12.75" customHeight="1" thickBot="1">
      <c r="A105" s="357">
        <f>+A104+1</f>
        <v>73</v>
      </c>
      <c r="B105" s="650" t="str">
        <f>"Average Cost of Preferred Stock (Ln "&amp;A104&amp;"/"&amp;A103&amp;")"</f>
        <v>Average Cost of Preferred Stock (Ln 72/71)</v>
      </c>
      <c r="C105" s="647">
        <f>IF(C103=0,0,C104/C103)</f>
        <v>0</v>
      </c>
      <c r="D105" s="647">
        <f>IF(D103=0,0,D104/D103)</f>
        <v>0</v>
      </c>
      <c r="E105" s="652">
        <f>IF(E103=0,0,+E104/E103)</f>
        <v>0</v>
      </c>
      <c r="F105" s="654"/>
      <c r="G105" s="654"/>
      <c r="H105" s="654"/>
    </row>
  </sheetData>
  <mergeCells count="10">
    <mergeCell ref="B50:C50"/>
    <mergeCell ref="B60:E60"/>
    <mergeCell ref="B61:E61"/>
    <mergeCell ref="G62:H62"/>
    <mergeCell ref="A1:G1"/>
    <mergeCell ref="A2:G2"/>
    <mergeCell ref="A3:G3"/>
    <mergeCell ref="A4:G4"/>
    <mergeCell ref="C6:G6"/>
    <mergeCell ref="C25:H25"/>
  </mergeCells>
  <pageMargins left="0.7" right="0.7" top="0.75" bottom="0.75" header="0.3" footer="0.3"/>
  <pageSetup scale="66" fitToHeight="0" orientation="landscape" cellComments="asDisplayed" r:id="rId1"/>
  <headerFooter>
    <oddHeader xml:space="preserve">&amp;RPage &amp;P of &amp;N
</oddHeader>
  </headerFooter>
  <rowBreaks count="1" manualBreakCount="1">
    <brk id="44"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U34"/>
  <sheetViews>
    <sheetView view="pageBreakPreview" zoomScale="80" zoomScaleNormal="100" zoomScaleSheetLayoutView="80" workbookViewId="0">
      <selection activeCell="A3" sqref="A3:O3"/>
    </sheetView>
  </sheetViews>
  <sheetFormatPr defaultRowHeight="12.75" customHeight="1"/>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2.5703125" customWidth="1"/>
    <col min="17" max="17" width="12.7109375" customWidth="1"/>
    <col min="18" max="18" width="1.85546875" customWidth="1"/>
    <col min="19" max="19" width="17.5703125" customWidth="1"/>
    <col min="20" max="20" width="1.85546875" customWidth="1"/>
    <col min="21" max="21" width="10.42578125" customWidth="1"/>
  </cols>
  <sheetData>
    <row r="1" spans="1:21" ht="15.75">
      <c r="A1" s="581" t="s">
        <v>114</v>
      </c>
    </row>
    <row r="2" spans="1:21" ht="15.75">
      <c r="A2" s="581" t="s">
        <v>114</v>
      </c>
    </row>
    <row r="3" spans="1:21" ht="18">
      <c r="A3" s="1276" t="s">
        <v>387</v>
      </c>
      <c r="B3" s="1276"/>
      <c r="C3" s="1276"/>
      <c r="D3" s="1276"/>
      <c r="E3" s="1276"/>
      <c r="F3" s="1276"/>
      <c r="G3" s="1276"/>
      <c r="H3" s="1276"/>
      <c r="I3" s="1276"/>
      <c r="J3" s="1276"/>
      <c r="K3" s="1276"/>
      <c r="L3" s="1276"/>
      <c r="M3" s="1276"/>
      <c r="N3" s="1276"/>
      <c r="O3" s="1276"/>
    </row>
    <row r="4" spans="1:21" ht="18">
      <c r="A4" s="1275" t="str">
        <f>"Cost of Service Formula Rate Using Actual/Projected FF1 Balances"</f>
        <v>Cost of Service Formula Rate Using Actual/Projected FF1 Balances</v>
      </c>
      <c r="B4" s="1275"/>
      <c r="C4" s="1275"/>
      <c r="D4" s="1275"/>
      <c r="E4" s="1275"/>
      <c r="F4" s="1275"/>
      <c r="G4" s="1275"/>
      <c r="H4" s="1275"/>
      <c r="I4" s="1275"/>
      <c r="J4" s="1275"/>
      <c r="K4" s="1275"/>
      <c r="L4" s="1275"/>
      <c r="M4" s="1275"/>
      <c r="N4" s="1275"/>
      <c r="O4" s="1275"/>
    </row>
    <row r="5" spans="1:21" ht="18">
      <c r="A5" s="1275" t="s">
        <v>239</v>
      </c>
      <c r="B5" s="1275"/>
      <c r="C5" s="1275"/>
      <c r="D5" s="1275"/>
      <c r="E5" s="1275"/>
      <c r="F5" s="1275"/>
      <c r="G5" s="1275"/>
      <c r="H5" s="1275"/>
      <c r="I5" s="1275"/>
      <c r="J5" s="1275"/>
      <c r="K5" s="1275"/>
      <c r="L5" s="1275"/>
      <c r="M5" s="1275"/>
      <c r="N5" s="1275"/>
      <c r="O5" s="1275"/>
    </row>
    <row r="6" spans="1:21" ht="18">
      <c r="A6" s="1269" t="str">
        <f>+TCOS!F9</f>
        <v>Appalachian Power Company</v>
      </c>
      <c r="B6" s="1269"/>
      <c r="C6" s="1269"/>
      <c r="D6" s="1269"/>
      <c r="E6" s="1269"/>
      <c r="F6" s="1269"/>
      <c r="G6" s="1269"/>
      <c r="H6" s="1269"/>
      <c r="I6" s="1269"/>
      <c r="J6" s="1269"/>
      <c r="K6" s="1269"/>
      <c r="L6" s="1269"/>
      <c r="M6" s="1269"/>
      <c r="N6" s="1269"/>
      <c r="O6" s="1269"/>
    </row>
    <row r="7" spans="1:21" ht="12.75" customHeight="1">
      <c r="A7" s="113"/>
      <c r="B7" s="113"/>
      <c r="C7" s="113"/>
      <c r="D7" s="113"/>
      <c r="E7" s="113"/>
      <c r="F7" s="113"/>
      <c r="G7" s="113"/>
      <c r="H7" s="113"/>
      <c r="I7" s="113"/>
      <c r="J7" s="113"/>
      <c r="K7" s="113"/>
      <c r="L7" s="113"/>
    </row>
    <row r="8" spans="1:21" ht="12.75" customHeight="1">
      <c r="A8" s="1302" t="s">
        <v>390</v>
      </c>
      <c r="B8" s="1302"/>
      <c r="C8" s="1302"/>
      <c r="D8" s="1302"/>
      <c r="E8" s="1302"/>
      <c r="F8" s="1302"/>
      <c r="G8" s="1302"/>
      <c r="H8" s="1302"/>
      <c r="I8" s="1302"/>
      <c r="J8" s="1302"/>
      <c r="K8" s="1302"/>
      <c r="L8" s="1302"/>
      <c r="M8" s="1302"/>
      <c r="N8" s="1302"/>
      <c r="O8" s="1302"/>
    </row>
    <row r="9" spans="1:21" ht="12.75" customHeight="1">
      <c r="A9" s="1302"/>
      <c r="B9" s="1302"/>
      <c r="C9" s="1302"/>
      <c r="D9" s="1302"/>
      <c r="E9" s="1302"/>
      <c r="F9" s="1302"/>
      <c r="G9" s="1302"/>
      <c r="H9" s="1302"/>
      <c r="I9" s="1302"/>
      <c r="J9" s="1302"/>
      <c r="K9" s="1302"/>
      <c r="L9" s="1302"/>
      <c r="M9" s="1302"/>
      <c r="N9" s="1302"/>
      <c r="O9" s="1302"/>
    </row>
    <row r="10" spans="1:21">
      <c r="A10" s="1302"/>
      <c r="B10" s="1302"/>
      <c r="C10" s="1302"/>
      <c r="D10" s="1302"/>
      <c r="E10" s="1302"/>
      <c r="F10" s="1302"/>
      <c r="G10" s="1302"/>
      <c r="H10" s="1302"/>
      <c r="I10" s="1302"/>
      <c r="J10" s="1302"/>
      <c r="K10" s="1302"/>
      <c r="L10" s="1302"/>
      <c r="M10" s="1302"/>
      <c r="N10" s="1302"/>
      <c r="O10" s="1302"/>
    </row>
    <row r="11" spans="1:21">
      <c r="A11" s="1302"/>
      <c r="B11" s="1302"/>
      <c r="C11" s="1302"/>
      <c r="D11" s="1302"/>
      <c r="E11" s="1302"/>
      <c r="F11" s="1302"/>
      <c r="G11" s="1302"/>
      <c r="H11" s="1302"/>
      <c r="I11" s="1302"/>
      <c r="J11" s="1302"/>
      <c r="K11" s="1302"/>
      <c r="L11" s="1302"/>
      <c r="M11" s="1302"/>
      <c r="N11" s="1302"/>
      <c r="O11" s="1302"/>
    </row>
    <row r="12" spans="1:21">
      <c r="B12" s="1" t="s">
        <v>162</v>
      </c>
      <c r="C12" s="1"/>
      <c r="D12" s="1214" t="s">
        <v>163</v>
      </c>
      <c r="E12" s="1214"/>
      <c r="F12" s="1214"/>
      <c r="G12" s="1214"/>
      <c r="H12" s="1"/>
      <c r="I12" s="1" t="s">
        <v>4</v>
      </c>
      <c r="J12" s="1"/>
      <c r="K12" s="1" t="s">
        <v>165</v>
      </c>
      <c r="L12" s="1"/>
      <c r="M12" s="1" t="s">
        <v>84</v>
      </c>
      <c r="N12" s="1"/>
      <c r="O12" s="1" t="s">
        <v>85</v>
      </c>
      <c r="P12" s="1"/>
      <c r="Q12" s="1" t="s">
        <v>20</v>
      </c>
      <c r="R12" s="1"/>
      <c r="S12" s="1" t="s">
        <v>91</v>
      </c>
      <c r="T12" s="1"/>
      <c r="U12" s="67" t="s">
        <v>500</v>
      </c>
    </row>
    <row r="13" spans="1:21">
      <c r="I13" s="1301" t="s">
        <v>18</v>
      </c>
      <c r="Q13" s="1303" t="s">
        <v>19</v>
      </c>
      <c r="S13" s="1301" t="s">
        <v>21</v>
      </c>
      <c r="U13" s="186" t="s">
        <v>80</v>
      </c>
    </row>
    <row r="14" spans="1:21">
      <c r="A14" s="114" t="s">
        <v>17</v>
      </c>
      <c r="B14" s="114" t="s">
        <v>13</v>
      </c>
      <c r="C14" s="114"/>
      <c r="D14" s="142" t="s">
        <v>14</v>
      </c>
      <c r="E14" s="114"/>
      <c r="F14" s="114"/>
      <c r="G14" s="114"/>
      <c r="H14" s="114"/>
      <c r="I14" s="1287"/>
      <c r="J14" s="114"/>
      <c r="K14" s="114" t="s">
        <v>15</v>
      </c>
      <c r="L14" s="114"/>
      <c r="M14" s="114" t="s">
        <v>16</v>
      </c>
      <c r="N14" s="114"/>
      <c r="O14" s="114" t="s">
        <v>493</v>
      </c>
      <c r="Q14" s="1303"/>
      <c r="S14" s="1301"/>
      <c r="U14" s="186" t="s">
        <v>306</v>
      </c>
    </row>
    <row r="15" spans="1:21">
      <c r="A15" s="114"/>
      <c r="B15" s="114"/>
      <c r="C15" s="114"/>
      <c r="D15" s="142"/>
      <c r="E15" s="114"/>
      <c r="F15" s="114"/>
      <c r="G15" s="114"/>
      <c r="H15" s="114"/>
      <c r="I15" t="s">
        <v>491</v>
      </c>
      <c r="J15" s="114"/>
      <c r="K15" s="114"/>
      <c r="L15" s="114"/>
      <c r="M15" s="114"/>
      <c r="N15" s="114"/>
      <c r="O15" s="114"/>
      <c r="Q15" s="158"/>
      <c r="S15" s="114" t="s">
        <v>493</v>
      </c>
    </row>
    <row r="16" spans="1:21">
      <c r="I16" t="s">
        <v>492</v>
      </c>
    </row>
    <row r="17" spans="1:21">
      <c r="A17" s="1">
        <v>1</v>
      </c>
      <c r="B17" s="574"/>
      <c r="D17" s="1304"/>
      <c r="E17" s="1304"/>
      <c r="F17" s="1304"/>
      <c r="G17" s="1304"/>
      <c r="I17" s="575"/>
      <c r="K17" s="573"/>
      <c r="L17" s="95"/>
      <c r="M17" s="573"/>
      <c r="O17" s="115">
        <f>+K17-M17</f>
        <v>0</v>
      </c>
      <c r="Q17" s="147">
        <f>IF(I17="G",TCOS!L257,IF(I17="T",1,0))</f>
        <v>0</v>
      </c>
      <c r="S17" s="115">
        <f>ROUND(O17*Q17,0)</f>
        <v>0</v>
      </c>
      <c r="U17" s="576"/>
    </row>
    <row r="18" spans="1:21">
      <c r="A18" s="1"/>
      <c r="D18" s="1304"/>
      <c r="E18" s="1304"/>
      <c r="F18" s="1304"/>
      <c r="G18" s="1304"/>
      <c r="K18" s="95"/>
      <c r="L18" s="95"/>
      <c r="M18" s="95"/>
      <c r="O18" s="95"/>
      <c r="Q18" s="147"/>
      <c r="S18" s="95"/>
    </row>
    <row r="19" spans="1:21">
      <c r="A19" s="1"/>
      <c r="D19" s="1304"/>
      <c r="E19" s="1304"/>
      <c r="F19" s="1304"/>
      <c r="G19" s="1304"/>
      <c r="K19" s="95"/>
      <c r="L19" s="95"/>
      <c r="M19" s="95"/>
      <c r="O19" s="95"/>
      <c r="Q19" s="147"/>
      <c r="S19" s="95"/>
    </row>
    <row r="20" spans="1:21">
      <c r="A20" s="1"/>
      <c r="K20" s="95"/>
      <c r="L20" s="95"/>
      <c r="M20" s="95"/>
      <c r="O20" s="95"/>
      <c r="Q20" s="147"/>
      <c r="S20" s="95"/>
    </row>
    <row r="21" spans="1:21">
      <c r="A21" s="1"/>
      <c r="K21" s="95"/>
      <c r="L21" s="95"/>
      <c r="M21" s="95"/>
      <c r="O21" s="95"/>
      <c r="Q21" s="147"/>
      <c r="S21" s="95"/>
    </row>
    <row r="22" spans="1:21" ht="12" customHeight="1">
      <c r="A22" s="1">
        <f>+A17+1</f>
        <v>2</v>
      </c>
      <c r="B22" s="574"/>
      <c r="D22" s="1304"/>
      <c r="E22" s="1304"/>
      <c r="F22" s="1304"/>
      <c r="G22" s="1304"/>
      <c r="I22" s="575"/>
      <c r="K22" s="573"/>
      <c r="L22" s="95"/>
      <c r="M22" s="573"/>
      <c r="O22" s="115">
        <f>+K22-M22</f>
        <v>0</v>
      </c>
      <c r="Q22" s="147">
        <f>IF(I22="G",TCOS!L257,IF(I22="T",1,0))</f>
        <v>0</v>
      </c>
      <c r="S22" s="115">
        <f>ROUND(O22*Q22,0)</f>
        <v>0</v>
      </c>
      <c r="U22" s="576"/>
    </row>
    <row r="23" spans="1:21">
      <c r="A23" s="1"/>
      <c r="D23" s="1304"/>
      <c r="E23" s="1304"/>
      <c r="F23" s="1304"/>
      <c r="G23" s="1304"/>
      <c r="K23" s="95"/>
      <c r="L23" s="95"/>
      <c r="M23" s="95"/>
      <c r="O23" s="95"/>
      <c r="Q23" s="147"/>
      <c r="S23" s="95"/>
    </row>
    <row r="24" spans="1:21">
      <c r="A24" s="1"/>
      <c r="D24" s="1304"/>
      <c r="E24" s="1304"/>
      <c r="F24" s="1304"/>
      <c r="G24" s="1304"/>
      <c r="K24" s="95"/>
      <c r="L24" s="95"/>
      <c r="M24" s="95"/>
      <c r="O24" s="95"/>
      <c r="Q24" s="147"/>
      <c r="S24" s="95"/>
    </row>
    <row r="25" spans="1:21">
      <c r="A25" s="1"/>
      <c r="I25" s="1"/>
      <c r="K25" s="95"/>
      <c r="L25" s="95"/>
      <c r="M25" s="95"/>
      <c r="O25" s="95"/>
      <c r="Q25" s="147"/>
      <c r="S25" s="95"/>
    </row>
    <row r="26" spans="1:21">
      <c r="A26" s="1"/>
      <c r="I26" s="1"/>
      <c r="K26" s="95"/>
      <c r="L26" s="95"/>
      <c r="M26" s="95"/>
      <c r="O26" s="95"/>
      <c r="Q26" s="147"/>
      <c r="S26" s="95"/>
    </row>
    <row r="27" spans="1:21">
      <c r="A27" s="1">
        <f>+A22+1</f>
        <v>3</v>
      </c>
      <c r="B27" s="574"/>
      <c r="D27" s="1304"/>
      <c r="E27" s="1304"/>
      <c r="F27" s="1304"/>
      <c r="G27" s="1304"/>
      <c r="I27" s="575"/>
      <c r="K27" s="573"/>
      <c r="L27" s="95"/>
      <c r="M27" s="573"/>
      <c r="O27" s="115">
        <f>+K27-M27</f>
        <v>0</v>
      </c>
      <c r="Q27" s="147">
        <f>IF(I27="G",TCOS!L257,IF(I27="T",1,0))</f>
        <v>0</v>
      </c>
      <c r="S27" s="115">
        <f>ROUND(O27*Q27,0)</f>
        <v>0</v>
      </c>
      <c r="U27" s="576"/>
    </row>
    <row r="28" spans="1:21">
      <c r="A28" s="1"/>
      <c r="D28" s="1304"/>
      <c r="E28" s="1304"/>
      <c r="F28" s="1304"/>
      <c r="G28" s="1304"/>
      <c r="K28" s="95"/>
      <c r="L28" s="95"/>
      <c r="M28" s="95"/>
      <c r="O28" s="95"/>
      <c r="Q28" s="147"/>
      <c r="S28" s="95"/>
    </row>
    <row r="29" spans="1:21">
      <c r="A29" s="1"/>
      <c r="D29" s="1304"/>
      <c r="E29" s="1304"/>
      <c r="F29" s="1304"/>
      <c r="G29" s="1304"/>
      <c r="K29" s="95"/>
      <c r="L29" s="95"/>
      <c r="M29" s="95"/>
      <c r="O29" s="95"/>
      <c r="Q29" s="147"/>
    </row>
    <row r="30" spans="1:21">
      <c r="A30" s="1"/>
      <c r="O30" s="95"/>
      <c r="Q30" s="147"/>
    </row>
    <row r="31" spans="1:21">
      <c r="A31" s="1"/>
      <c r="O31" s="95"/>
      <c r="Q31" s="147"/>
    </row>
    <row r="32" spans="1:21">
      <c r="A32" s="1"/>
      <c r="O32" s="95"/>
      <c r="Q32" s="147"/>
    </row>
    <row r="33" spans="1:19" ht="13.5" thickBot="1">
      <c r="A33" s="1">
        <f>+A27+1</f>
        <v>4</v>
      </c>
      <c r="K33" t="str">
        <f>"Net (Gain) or Loss for "&amp;TCOS!L4&amp;""</f>
        <v>Net (Gain) or Loss for 2026</v>
      </c>
      <c r="O33" s="156">
        <f>SUM(O17:O27)</f>
        <v>0</v>
      </c>
      <c r="Q33" s="157"/>
      <c r="S33" s="156">
        <f>SUM(S17:S27)</f>
        <v>0</v>
      </c>
    </row>
    <row r="34" spans="1:19" ht="12.75" customHeight="1" thickTop="1"/>
  </sheetData>
  <mergeCells count="12">
    <mergeCell ref="Q13:Q14"/>
    <mergeCell ref="S13:S14"/>
    <mergeCell ref="D17:G19"/>
    <mergeCell ref="D22:G24"/>
    <mergeCell ref="D27:G29"/>
    <mergeCell ref="A3:O3"/>
    <mergeCell ref="A4:O4"/>
    <mergeCell ref="A5:O5"/>
    <mergeCell ref="I13:I14"/>
    <mergeCell ref="D12:G12"/>
    <mergeCell ref="A6:O6"/>
    <mergeCell ref="A8:O11"/>
  </mergeCells>
  <phoneticPr fontId="91" type="noConversion"/>
  <pageMargins left="0.75" right="0.75" top="1" bottom="1" header="0.75" footer="0.5"/>
  <pageSetup scale="75" orientation="landscape" r:id="rId1"/>
  <headerFooter alignWithMargins="0">
    <oddHeader>&amp;R&amp;"Arial,Bold"Formula Rate 
&amp;A
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Q57"/>
  <sheetViews>
    <sheetView view="pageBreakPreview" zoomScaleNormal="75" zoomScaleSheetLayoutView="100" workbookViewId="0">
      <selection activeCell="E13" sqref="E13"/>
    </sheetView>
  </sheetViews>
  <sheetFormatPr defaultRowHeight="12.75" customHeight="1"/>
  <cols>
    <col min="1" max="1" width="8.140625" customWidth="1"/>
    <col min="2" max="2" width="28.85546875" customWidth="1"/>
    <col min="3" max="3" width="17.85546875" customWidth="1"/>
    <col min="4" max="4" width="19.28515625" customWidth="1"/>
    <col min="5" max="6" width="19.85546875" customWidth="1"/>
    <col min="7" max="7" width="21.42578125" customWidth="1"/>
    <col min="8" max="9" width="19.85546875" customWidth="1"/>
    <col min="10" max="10" width="21.28515625" customWidth="1"/>
    <col min="11" max="11" width="18.140625" customWidth="1"/>
    <col min="12" max="12" width="22.42578125" customWidth="1"/>
    <col min="13" max="13" width="22.140625" customWidth="1"/>
    <col min="14" max="14" width="11.140625" customWidth="1"/>
    <col min="15" max="15" width="11.28515625" bestFit="1" customWidth="1"/>
    <col min="16" max="16" width="12.42578125" customWidth="1"/>
    <col min="18" max="18" width="10.28515625" bestFit="1" customWidth="1"/>
    <col min="20" max="20" width="12.85546875" customWidth="1"/>
    <col min="21" max="21" width="13.5703125" customWidth="1"/>
  </cols>
  <sheetData>
    <row r="1" spans="1:17" s="776" customFormat="1" ht="15.75">
      <c r="A1" s="775" t="s">
        <v>114</v>
      </c>
    </row>
    <row r="2" spans="1:17" s="776" customFormat="1" ht="15.75">
      <c r="A2" s="775" t="s">
        <v>114</v>
      </c>
    </row>
    <row r="3" spans="1:17" s="776" customFormat="1" ht="15.75">
      <c r="A3" s="1305" t="s">
        <v>387</v>
      </c>
      <c r="B3" s="1305"/>
      <c r="C3" s="1305"/>
      <c r="D3" s="1305"/>
      <c r="E3" s="1305"/>
      <c r="F3" s="1305"/>
      <c r="G3" s="1305"/>
      <c r="H3" s="1305"/>
      <c r="I3" s="1305"/>
      <c r="J3" s="1305"/>
      <c r="K3" s="1305"/>
      <c r="L3" s="777"/>
      <c r="M3" s="777"/>
      <c r="N3" s="778"/>
      <c r="O3" s="778"/>
      <c r="P3" s="778"/>
      <c r="Q3" s="778"/>
    </row>
    <row r="4" spans="1:17" s="776" customFormat="1" ht="15.75">
      <c r="A4" s="1306" t="str">
        <f>"Cost of Service Formula Rate Using Actual/Projected FF1 Balances"</f>
        <v>Cost of Service Formula Rate Using Actual/Projected FF1 Balances</v>
      </c>
      <c r="B4" s="1307"/>
      <c r="C4" s="1307"/>
      <c r="D4" s="1307"/>
      <c r="E4" s="1307"/>
      <c r="F4" s="1307"/>
      <c r="G4" s="1307"/>
      <c r="H4" s="1307"/>
      <c r="I4" s="1307"/>
      <c r="J4" s="1307"/>
      <c r="K4" s="1307"/>
      <c r="L4" s="779"/>
      <c r="M4" s="781"/>
      <c r="N4" s="782"/>
      <c r="O4" s="782"/>
      <c r="P4" s="782"/>
      <c r="Q4" s="782"/>
    </row>
    <row r="5" spans="1:17" s="776" customFormat="1" ht="15.75">
      <c r="A5" s="1306" t="s">
        <v>847</v>
      </c>
      <c r="B5" s="1306"/>
      <c r="C5" s="1306"/>
      <c r="D5" s="1306"/>
      <c r="E5" s="1306"/>
      <c r="F5" s="1306"/>
      <c r="G5" s="1306"/>
      <c r="H5" s="1306"/>
      <c r="I5" s="1306"/>
      <c r="J5" s="1306"/>
      <c r="K5" s="1306"/>
      <c r="L5" s="779"/>
      <c r="M5" s="783"/>
      <c r="N5" s="783"/>
      <c r="O5" s="783"/>
      <c r="P5" s="783"/>
      <c r="Q5" s="783"/>
    </row>
    <row r="6" spans="1:17" s="776" customFormat="1" ht="15.75">
      <c r="A6" s="1308" t="str">
        <f>TCOS!F9</f>
        <v>Appalachian Power Company</v>
      </c>
      <c r="B6" s="1308"/>
      <c r="C6" s="1308"/>
      <c r="D6" s="1308"/>
      <c r="E6" s="1308"/>
      <c r="F6" s="1308"/>
      <c r="G6" s="1308"/>
      <c r="H6" s="1308"/>
      <c r="I6" s="1308"/>
      <c r="J6" s="1308"/>
      <c r="K6" s="1308"/>
      <c r="L6" s="784"/>
      <c r="M6" s="784"/>
      <c r="N6" s="785"/>
      <c r="O6" s="785"/>
      <c r="P6" s="785"/>
      <c r="Q6" s="785"/>
    </row>
    <row r="7" spans="1:17" s="776" customFormat="1"/>
    <row r="8" spans="1:17" s="776" customFormat="1"/>
    <row r="9" spans="1:17" s="776" customFormat="1">
      <c r="B9" s="1309"/>
      <c r="C9" s="1309"/>
      <c r="D9" s="1309"/>
      <c r="E9" s="1309"/>
      <c r="F9" s="1309"/>
      <c r="G9" s="1309"/>
      <c r="H9" s="1309"/>
      <c r="I9" s="1309"/>
      <c r="J9" s="1309"/>
      <c r="K9" s="1309"/>
      <c r="L9" s="1309"/>
      <c r="M9" s="1309"/>
      <c r="N9" s="787"/>
      <c r="O9" s="787"/>
      <c r="P9" s="787"/>
      <c r="Q9" s="787"/>
    </row>
    <row r="10" spans="1:17" s="776" customFormat="1">
      <c r="I10" s="787"/>
      <c r="J10" s="787"/>
      <c r="K10" s="787"/>
      <c r="L10" s="787"/>
      <c r="M10" s="787"/>
      <c r="N10" s="787"/>
      <c r="O10" s="787"/>
      <c r="P10" s="787"/>
      <c r="Q10" s="787"/>
    </row>
    <row r="11" spans="1:17" s="776" customFormat="1">
      <c r="I11" s="787"/>
      <c r="J11" s="787"/>
      <c r="K11" s="787"/>
      <c r="L11" s="787"/>
      <c r="M11" s="787"/>
      <c r="N11" s="787"/>
      <c r="O11" s="787"/>
      <c r="P11" s="787"/>
      <c r="Q11" s="787"/>
    </row>
    <row r="12" spans="1:17" s="776" customFormat="1">
      <c r="A12" s="780">
        <v>1</v>
      </c>
      <c r="B12" s="776" t="s">
        <v>821</v>
      </c>
      <c r="E12" s="808">
        <v>-200905524.64715412</v>
      </c>
      <c r="J12" s="787"/>
      <c r="K12" s="787"/>
      <c r="L12" s="787"/>
      <c r="M12" s="787"/>
      <c r="N12" s="787"/>
      <c r="O12" s="787"/>
      <c r="P12" s="787"/>
      <c r="Q12" s="787"/>
    </row>
    <row r="13" spans="1:17" s="776" customFormat="1">
      <c r="J13" s="787"/>
      <c r="K13" s="787"/>
      <c r="L13" s="787"/>
      <c r="M13" s="787"/>
      <c r="N13" s="787"/>
      <c r="O13" s="787"/>
      <c r="P13" s="787"/>
      <c r="Q13" s="787"/>
    </row>
    <row r="14" spans="1:17" s="776" customFormat="1">
      <c r="B14" s="1310" t="str">
        <f>"Allocation of PBOP Settlement Amount for "&amp;TCOS!L4&amp;""</f>
        <v>Allocation of PBOP Settlement Amount for 2026</v>
      </c>
      <c r="C14" s="1310"/>
      <c r="D14" s="788"/>
      <c r="E14" s="788"/>
      <c r="F14" s="788"/>
      <c r="G14" s="788"/>
      <c r="H14" s="788"/>
      <c r="I14" s="788"/>
      <c r="J14" s="788"/>
      <c r="K14" s="788"/>
      <c r="L14" s="788"/>
      <c r="M14" s="788"/>
      <c r="N14" s="787"/>
      <c r="O14" s="787"/>
      <c r="P14" s="787"/>
      <c r="Q14" s="787"/>
    </row>
    <row r="15" spans="1:17" s="776" customFormat="1">
      <c r="C15" s="1309" t="s">
        <v>822</v>
      </c>
      <c r="D15" s="1309"/>
      <c r="E15" s="1309"/>
      <c r="F15" s="786"/>
      <c r="N15" s="787"/>
      <c r="O15" s="787"/>
      <c r="P15" s="787"/>
      <c r="Q15" s="787"/>
    </row>
    <row r="16" spans="1:17" s="776" customFormat="1">
      <c r="C16" s="1313" t="s">
        <v>823</v>
      </c>
      <c r="D16" s="1313" t="s">
        <v>824</v>
      </c>
      <c r="E16" s="1313" t="s">
        <v>825</v>
      </c>
      <c r="F16" s="805"/>
      <c r="G16" s="805"/>
      <c r="H16" s="805"/>
      <c r="I16" s="1313" t="s">
        <v>826</v>
      </c>
      <c r="N16" s="787"/>
      <c r="O16" s="787"/>
      <c r="P16" s="787"/>
      <c r="Q16" s="787"/>
    </row>
    <row r="17" spans="1:17" s="776" customFormat="1" ht="12.75" customHeight="1">
      <c r="C17" s="1311"/>
      <c r="D17" s="1311"/>
      <c r="E17" s="1311"/>
      <c r="F17" s="1313" t="str">
        <f>"Labor Allocator for "&amp;TCOS!L4&amp;""</f>
        <v>Labor Allocator for 2026</v>
      </c>
      <c r="G17" s="807"/>
      <c r="H17" s="1314" t="s">
        <v>827</v>
      </c>
      <c r="I17" s="1313"/>
      <c r="N17" s="787"/>
      <c r="O17" s="787"/>
      <c r="P17" s="787"/>
      <c r="Q17" s="787"/>
    </row>
    <row r="18" spans="1:17" s="776" customFormat="1">
      <c r="A18" s="789" t="s">
        <v>828</v>
      </c>
      <c r="B18" s="786" t="s">
        <v>183</v>
      </c>
      <c r="C18" s="1311"/>
      <c r="D18" s="1311"/>
      <c r="E18" s="1311"/>
      <c r="F18" s="1313"/>
      <c r="G18" s="810" t="s">
        <v>829</v>
      </c>
      <c r="H18" s="1314"/>
      <c r="I18" s="1313"/>
      <c r="N18" s="787"/>
      <c r="O18" s="787"/>
      <c r="P18" s="787"/>
      <c r="Q18" s="787"/>
    </row>
    <row r="19" spans="1:17" s="776" customFormat="1">
      <c r="B19" s="786"/>
      <c r="C19" s="796"/>
      <c r="D19" s="796"/>
      <c r="E19" s="796"/>
      <c r="F19" s="805"/>
      <c r="G19" s="807"/>
      <c r="H19" s="807"/>
      <c r="I19" s="796"/>
      <c r="N19" s="787"/>
      <c r="O19" s="787"/>
      <c r="P19" s="787"/>
      <c r="Q19" s="787"/>
    </row>
    <row r="20" spans="1:17" s="776" customFormat="1" ht="25.5">
      <c r="B20" s="786"/>
      <c r="C20" s="805" t="s">
        <v>162</v>
      </c>
      <c r="D20" s="805" t="s">
        <v>830</v>
      </c>
      <c r="E20" s="806" t="str">
        <f>"(C )=(B) * "&amp;E12&amp;""</f>
        <v>(C )=(B) * -200905524.647154</v>
      </c>
      <c r="F20" s="805" t="s">
        <v>165</v>
      </c>
      <c r="G20" s="811" t="s">
        <v>831</v>
      </c>
      <c r="H20" s="811" t="s">
        <v>832</v>
      </c>
      <c r="I20" s="806" t="s">
        <v>833</v>
      </c>
      <c r="N20" s="787"/>
      <c r="O20" s="787"/>
      <c r="P20" s="787"/>
      <c r="Q20" s="787"/>
    </row>
    <row r="21" spans="1:17" s="776" customFormat="1">
      <c r="B21" s="786"/>
      <c r="C21" s="805" t="str">
        <f>"(Line "&amp;A47&amp;")"</f>
        <v>(Line 14)</v>
      </c>
      <c r="D21" s="805"/>
      <c r="E21" s="806"/>
      <c r="F21" s="805"/>
      <c r="G21" s="807"/>
      <c r="H21" s="809"/>
      <c r="I21" s="806"/>
      <c r="N21" s="787"/>
      <c r="O21" s="787"/>
      <c r="P21" s="787"/>
      <c r="Q21" s="787"/>
    </row>
    <row r="22" spans="1:17" s="776" customFormat="1">
      <c r="A22" s="776">
        <v>2</v>
      </c>
      <c r="B22" s="776" t="s">
        <v>834</v>
      </c>
      <c r="C22" s="808">
        <v>-13734373.967536405</v>
      </c>
      <c r="D22" s="958">
        <f t="shared" ref="D22:D27" si="0">+C22/C$28</f>
        <v>0.35553765030296386</v>
      </c>
      <c r="E22" s="795">
        <f t="shared" ref="E22:E27" si="1">ROUND(D22*E$28,0)</f>
        <v>-71429478</v>
      </c>
      <c r="F22" s="894">
        <v>0.1066651178128623</v>
      </c>
      <c r="G22" s="959">
        <f t="shared" ref="G22:G27" si="2">+C22*F22</f>
        <v>-1464978.6173331796</v>
      </c>
      <c r="H22" s="959">
        <f t="shared" ref="H22:H27" si="3">+F22*E22</f>
        <v>-7619033.6861812556</v>
      </c>
      <c r="I22" s="795">
        <f t="shared" ref="I22:I27" si="4">+G22-H22</f>
        <v>6154055.0688480763</v>
      </c>
      <c r="N22" s="787"/>
      <c r="O22" s="787"/>
      <c r="P22" s="787"/>
      <c r="Q22" s="787"/>
    </row>
    <row r="23" spans="1:17" s="776" customFormat="1">
      <c r="A23" s="776">
        <f t="shared" ref="A23:A28" si="5">+A22+1</f>
        <v>3</v>
      </c>
      <c r="B23" s="776" t="s">
        <v>835</v>
      </c>
      <c r="C23" s="808">
        <v>-9841017.7861267738</v>
      </c>
      <c r="D23" s="958">
        <f t="shared" si="0"/>
        <v>0.25475149785052731</v>
      </c>
      <c r="E23" s="795">
        <f t="shared" si="1"/>
        <v>-51180983</v>
      </c>
      <c r="F23" s="894">
        <v>5.4251739672466846E-2</v>
      </c>
      <c r="G23" s="959">
        <f t="shared" si="2"/>
        <v>-533892.33504506573</v>
      </c>
      <c r="H23" s="959">
        <f t="shared" si="3"/>
        <v>-2776657.3658969514</v>
      </c>
      <c r="I23" s="795">
        <f t="shared" si="4"/>
        <v>2242765.0308518857</v>
      </c>
      <c r="N23" s="787"/>
      <c r="O23" s="787"/>
      <c r="P23" s="787"/>
      <c r="Q23" s="787"/>
    </row>
    <row r="24" spans="1:17" s="776" customFormat="1">
      <c r="A24" s="776">
        <f t="shared" si="5"/>
        <v>4</v>
      </c>
      <c r="B24" s="776" t="s">
        <v>836</v>
      </c>
      <c r="C24" s="808">
        <v>-3258730.4032220743</v>
      </c>
      <c r="D24" s="958">
        <f t="shared" si="0"/>
        <v>8.4357783854652799E-2</v>
      </c>
      <c r="E24" s="795">
        <f t="shared" si="1"/>
        <v>-16947945</v>
      </c>
      <c r="F24" s="894">
        <v>9.7159094898712481E-2</v>
      </c>
      <c r="G24" s="959">
        <f t="shared" si="2"/>
        <v>-316615.29649597307</v>
      </c>
      <c r="H24" s="959">
        <f t="shared" si="3"/>
        <v>-1646646.9965931596</v>
      </c>
      <c r="I24" s="795">
        <f t="shared" si="4"/>
        <v>1330031.7000971865</v>
      </c>
      <c r="N24" s="787"/>
      <c r="O24" s="787"/>
      <c r="P24" s="787"/>
      <c r="Q24" s="787"/>
    </row>
    <row r="25" spans="1:17" s="776" customFormat="1">
      <c r="A25" s="776">
        <f t="shared" si="5"/>
        <v>5</v>
      </c>
      <c r="B25" s="776" t="s">
        <v>837</v>
      </c>
      <c r="C25" s="808">
        <v>-325117.27616654808</v>
      </c>
      <c r="D25" s="958">
        <f t="shared" si="0"/>
        <v>8.416214143751646E-3</v>
      </c>
      <c r="E25" s="795">
        <f t="shared" si="1"/>
        <v>-1690864</v>
      </c>
      <c r="F25" s="894">
        <v>8.299430354565529E-2</v>
      </c>
      <c r="G25" s="959">
        <f t="shared" si="2"/>
        <v>-26982.881906103132</v>
      </c>
      <c r="H25" s="959">
        <f t="shared" si="3"/>
        <v>-140332.0800704209</v>
      </c>
      <c r="I25" s="795">
        <f t="shared" si="4"/>
        <v>113349.19816431776</v>
      </c>
      <c r="N25" s="787"/>
      <c r="O25" s="787"/>
      <c r="P25" s="787"/>
      <c r="Q25" s="787"/>
    </row>
    <row r="26" spans="1:17" s="776" customFormat="1">
      <c r="A26" s="776">
        <f t="shared" si="5"/>
        <v>6</v>
      </c>
      <c r="B26" s="776" t="s">
        <v>838</v>
      </c>
      <c r="C26" s="808">
        <v>-10652552.026077839</v>
      </c>
      <c r="D26" s="958">
        <f t="shared" si="0"/>
        <v>0.27575944313398881</v>
      </c>
      <c r="E26" s="795">
        <f t="shared" si="1"/>
        <v>-55401596</v>
      </c>
      <c r="F26" s="894">
        <v>0.135208894420357</v>
      </c>
      <c r="G26" s="959">
        <f t="shared" si="2"/>
        <v>-1440319.7822013185</v>
      </c>
      <c r="H26" s="959">
        <f t="shared" si="3"/>
        <v>-7490788.5442832727</v>
      </c>
      <c r="I26" s="795">
        <f t="shared" si="4"/>
        <v>6050468.7620819546</v>
      </c>
      <c r="N26" s="787"/>
      <c r="O26" s="787"/>
      <c r="P26" s="787"/>
      <c r="Q26" s="787"/>
    </row>
    <row r="27" spans="1:17" s="776" customFormat="1">
      <c r="A27" s="776">
        <f t="shared" si="5"/>
        <v>7</v>
      </c>
      <c r="B27" s="776" t="s">
        <v>839</v>
      </c>
      <c r="C27" s="965">
        <v>-818080.6678671788</v>
      </c>
      <c r="D27" s="958">
        <f t="shared" si="0"/>
        <v>2.1177410714115621E-2</v>
      </c>
      <c r="E27" s="812">
        <f t="shared" si="1"/>
        <v>-4254659</v>
      </c>
      <c r="F27" s="960">
        <v>2.6598278970881298E-2</v>
      </c>
      <c r="G27" s="961">
        <f t="shared" si="2"/>
        <v>-21759.537824616109</v>
      </c>
      <c r="H27" s="961">
        <f t="shared" si="3"/>
        <v>-113166.60700797086</v>
      </c>
      <c r="I27" s="812">
        <f t="shared" si="4"/>
        <v>91407.069183354746</v>
      </c>
      <c r="N27" s="787"/>
      <c r="O27" s="787"/>
      <c r="P27" s="787"/>
      <c r="Q27" s="787"/>
    </row>
    <row r="28" spans="1:17" s="776" customFormat="1">
      <c r="A28" s="776">
        <f t="shared" si="5"/>
        <v>8</v>
      </c>
      <c r="B28" s="786" t="str">
        <f>"Sum of Lines "&amp;A22&amp;" to "&amp;A27&amp;""</f>
        <v>Sum of Lines 2 to 7</v>
      </c>
      <c r="C28" s="795">
        <f>SUM(C22:C27)</f>
        <v>-38629872.126996815</v>
      </c>
      <c r="E28" s="807">
        <f>+E12</f>
        <v>-200905524.64715412</v>
      </c>
      <c r="F28" s="807"/>
      <c r="G28" s="807">
        <f>SUM(G22:G27)</f>
        <v>-3804548.4508062564</v>
      </c>
      <c r="H28" s="807">
        <f>SUM(H22:H27)</f>
        <v>-19786625.280033026</v>
      </c>
      <c r="I28" s="807">
        <f>SUM(I22:I27)</f>
        <v>15982076.829226777</v>
      </c>
      <c r="N28" s="787"/>
      <c r="O28" s="787"/>
      <c r="P28" s="787"/>
      <c r="Q28" s="787"/>
    </row>
    <row r="29" spans="1:17" s="776" customFormat="1">
      <c r="C29" s="795"/>
      <c r="N29" s="787"/>
      <c r="O29" s="787"/>
      <c r="P29" s="787"/>
      <c r="Q29" s="787"/>
    </row>
    <row r="30" spans="1:17" s="776" customFormat="1">
      <c r="N30" s="787"/>
      <c r="O30" s="787"/>
      <c r="P30" s="787"/>
      <c r="Q30" s="787"/>
    </row>
    <row r="31" spans="1:17" s="776" customFormat="1">
      <c r="J31" s="787"/>
      <c r="K31" s="787"/>
      <c r="L31" s="787"/>
      <c r="M31" s="787"/>
      <c r="N31" s="787"/>
      <c r="O31" s="787"/>
      <c r="P31" s="787"/>
      <c r="Q31" s="787"/>
    </row>
    <row r="32" spans="1:17" s="776" customFormat="1">
      <c r="J32" s="787"/>
      <c r="K32" s="787"/>
      <c r="L32" s="787"/>
      <c r="M32" s="787"/>
      <c r="N32" s="787"/>
      <c r="O32" s="787"/>
      <c r="P32" s="787"/>
      <c r="Q32" s="787"/>
    </row>
    <row r="33" spans="1:17" s="776" customFormat="1">
      <c r="B33" s="789" t="s">
        <v>848</v>
      </c>
      <c r="F33" s="790"/>
      <c r="J33" s="787"/>
      <c r="K33" s="787"/>
      <c r="L33" s="787"/>
      <c r="M33" s="787"/>
      <c r="N33" s="787"/>
      <c r="O33" s="787"/>
      <c r="P33" s="787"/>
      <c r="Q33" s="787"/>
    </row>
    <row r="34" spans="1:17" s="776" customFormat="1">
      <c r="E34" s="790"/>
      <c r="I34" s="791"/>
      <c r="J34" s="787"/>
      <c r="K34" s="787"/>
      <c r="L34" s="787"/>
      <c r="M34" s="787"/>
      <c r="N34" s="787"/>
      <c r="O34" s="787"/>
      <c r="P34" s="787"/>
      <c r="Q34" s="787"/>
    </row>
    <row r="35" spans="1:17" s="776" customFormat="1">
      <c r="D35" s="792" t="s">
        <v>834</v>
      </c>
      <c r="E35" s="793"/>
      <c r="F35" s="792" t="s">
        <v>835</v>
      </c>
      <c r="G35" s="792" t="s">
        <v>836</v>
      </c>
      <c r="H35" s="792" t="s">
        <v>840</v>
      </c>
      <c r="I35" s="794" t="s">
        <v>838</v>
      </c>
      <c r="J35" s="794" t="s">
        <v>839</v>
      </c>
      <c r="K35" s="794" t="s">
        <v>841</v>
      </c>
      <c r="L35" s="787"/>
      <c r="M35" s="787"/>
      <c r="N35" s="787"/>
      <c r="O35" s="787"/>
      <c r="P35" s="787"/>
      <c r="Q35" s="787"/>
    </row>
    <row r="36" spans="1:17" s="776" customFormat="1">
      <c r="E36" s="787"/>
      <c r="I36" s="787"/>
      <c r="J36" s="787"/>
      <c r="K36" s="787"/>
      <c r="L36" s="787"/>
      <c r="M36" s="787"/>
      <c r="N36" s="787"/>
      <c r="O36" s="787"/>
      <c r="P36" s="787"/>
      <c r="Q36" s="787"/>
    </row>
    <row r="37" spans="1:17" s="776" customFormat="1">
      <c r="A37" s="776">
        <f>+A28+1</f>
        <v>9</v>
      </c>
      <c r="B37" s="776" t="s">
        <v>842</v>
      </c>
      <c r="D37" s="954">
        <v>-10998000</v>
      </c>
      <c r="E37" s="955"/>
      <c r="F37" s="954">
        <v>-9013000</v>
      </c>
      <c r="G37" s="954">
        <v>-2507000</v>
      </c>
      <c r="H37" s="954">
        <v>-276000</v>
      </c>
      <c r="I37" s="954">
        <v>-7926000</v>
      </c>
      <c r="J37" s="954">
        <v>-597000</v>
      </c>
      <c r="K37" s="790">
        <f>SUM(D37:J37)</f>
        <v>-31317000</v>
      </c>
      <c r="L37" s="787" t="s">
        <v>114</v>
      </c>
      <c r="M37" s="787"/>
      <c r="N37" s="787"/>
      <c r="O37" s="787"/>
      <c r="P37" s="787"/>
      <c r="Q37" s="787"/>
    </row>
    <row r="38" spans="1:17" s="776" customFormat="1">
      <c r="D38" s="795"/>
      <c r="E38" s="787"/>
      <c r="F38" s="795"/>
      <c r="G38" s="795"/>
      <c r="H38" s="795"/>
      <c r="I38" s="795"/>
      <c r="J38" s="795"/>
    </row>
    <row r="39" spans="1:17" s="776" customFormat="1">
      <c r="A39" s="776">
        <f>+A37+1</f>
        <v>10</v>
      </c>
      <c r="B39" s="1311" t="s">
        <v>843</v>
      </c>
      <c r="C39" s="1311"/>
      <c r="D39" s="954">
        <v>854805.39000000805</v>
      </c>
      <c r="E39" s="955"/>
      <c r="F39" s="954">
        <v>1390817.4799999977</v>
      </c>
      <c r="G39" s="954">
        <v>-45453.439999999478</v>
      </c>
      <c r="H39" s="954">
        <v>27211.999999999767</v>
      </c>
      <c r="I39" s="954">
        <v>224400.91000000201</v>
      </c>
      <c r="J39" s="954">
        <v>205769.55999999959</v>
      </c>
      <c r="K39" s="790"/>
      <c r="L39" s="787"/>
      <c r="M39" s="787"/>
      <c r="N39" s="787"/>
      <c r="O39" s="787"/>
      <c r="P39" s="787"/>
      <c r="Q39" s="787"/>
    </row>
    <row r="40" spans="1:17" s="776" customFormat="1">
      <c r="B40" s="1311"/>
      <c r="C40" s="1311"/>
      <c r="D40" s="790"/>
      <c r="E40" s="787"/>
      <c r="F40" s="790"/>
      <c r="G40" s="790"/>
      <c r="H40" s="790"/>
      <c r="I40" s="790"/>
      <c r="J40" s="790"/>
      <c r="L40" s="787"/>
      <c r="M40" s="787"/>
      <c r="N40" s="787"/>
      <c r="O40" s="787"/>
      <c r="P40" s="787"/>
      <c r="Q40" s="787"/>
    </row>
    <row r="41" spans="1:17" s="776" customFormat="1">
      <c r="A41" s="776">
        <f>+A39+1</f>
        <v>11</v>
      </c>
      <c r="B41" s="776" t="s">
        <v>844</v>
      </c>
      <c r="D41" s="954"/>
      <c r="E41" s="955"/>
      <c r="F41" s="954"/>
      <c r="G41" s="954"/>
      <c r="H41" s="954"/>
      <c r="I41" s="954"/>
      <c r="J41" s="954"/>
      <c r="K41" s="790">
        <f>SUM(D41:J41)</f>
        <v>0</v>
      </c>
      <c r="L41" s="787"/>
      <c r="M41" s="787"/>
      <c r="N41" s="787"/>
      <c r="O41" s="787"/>
      <c r="P41" s="787"/>
      <c r="Q41" s="787"/>
    </row>
    <row r="42" spans="1:17" s="776" customFormat="1">
      <c r="D42" s="797"/>
      <c r="E42" s="798"/>
      <c r="F42" s="797"/>
      <c r="G42" s="797"/>
      <c r="H42" s="797"/>
      <c r="I42" s="798"/>
      <c r="J42" s="798"/>
      <c r="K42" s="797"/>
      <c r="L42" s="787"/>
      <c r="M42" s="787"/>
      <c r="N42" s="787"/>
      <c r="O42" s="787"/>
      <c r="P42" s="787"/>
      <c r="Q42" s="787"/>
    </row>
    <row r="43" spans="1:17" s="776" customFormat="1">
      <c r="A43" s="776">
        <f>+A41+1</f>
        <v>12</v>
      </c>
      <c r="B43" s="776" t="str">
        <f>"Net Company Expense (Ln "&amp;A37&amp;" + Ln "&amp;A39&amp;" + Ln  "&amp;A41&amp;")"</f>
        <v>Net Company Expense (Ln 9 + Ln 10 + Ln  11)</v>
      </c>
      <c r="D43" s="790">
        <f t="shared" ref="D43:J43" si="6">+D37+D41+D39</f>
        <v>-10143194.609999992</v>
      </c>
      <c r="E43" s="791"/>
      <c r="F43" s="790">
        <f t="shared" si="6"/>
        <v>-7622182.5200000023</v>
      </c>
      <c r="G43" s="790">
        <f t="shared" si="6"/>
        <v>-2552453.4399999995</v>
      </c>
      <c r="H43" s="790">
        <f t="shared" si="6"/>
        <v>-248788.00000000023</v>
      </c>
      <c r="I43" s="790">
        <f t="shared" si="6"/>
        <v>-7701599.089999998</v>
      </c>
      <c r="J43" s="790">
        <f t="shared" si="6"/>
        <v>-391230.44000000041</v>
      </c>
      <c r="K43" s="790">
        <f>SUM(D43:J43)</f>
        <v>-28659448.09999999</v>
      </c>
      <c r="L43" s="787"/>
      <c r="M43" s="787"/>
      <c r="N43" s="787"/>
      <c r="O43" s="787"/>
      <c r="P43" s="787"/>
      <c r="Q43" s="787"/>
    </row>
    <row r="44" spans="1:17" s="776" customFormat="1">
      <c r="E44" s="787"/>
      <c r="G44" s="790">
        <f>+G40+G42</f>
        <v>0</v>
      </c>
      <c r="I44" s="787"/>
      <c r="J44" s="787"/>
      <c r="L44" s="799"/>
      <c r="M44" s="787"/>
      <c r="N44" s="787"/>
      <c r="O44" s="787"/>
      <c r="P44" s="787"/>
      <c r="Q44" s="787"/>
    </row>
    <row r="45" spans="1:17" s="776" customFormat="1">
      <c r="A45" s="776">
        <f>+A43+1</f>
        <v>13</v>
      </c>
      <c r="B45" s="1311" t="s">
        <v>845</v>
      </c>
      <c r="C45" s="1311"/>
      <c r="D45" s="954">
        <v>-3280232.3575364132</v>
      </c>
      <c r="E45" s="955"/>
      <c r="F45" s="954">
        <v>-1827312.2661267724</v>
      </c>
      <c r="G45" s="954">
        <v>-533566.96322207467</v>
      </c>
      <c r="H45" s="954">
        <v>-83685.276166547861</v>
      </c>
      <c r="I45" s="954">
        <v>-2783594.9360778411</v>
      </c>
      <c r="J45" s="954">
        <v>-393788.22786717844</v>
      </c>
      <c r="K45" s="790">
        <f>SUM(D45:J45)</f>
        <v>-8902180.0269968268</v>
      </c>
      <c r="L45" s="800" t="s">
        <v>114</v>
      </c>
      <c r="M45" s="787"/>
      <c r="N45" s="787"/>
      <c r="O45" s="787"/>
      <c r="P45" s="787"/>
      <c r="Q45" s="787"/>
    </row>
    <row r="46" spans="1:17" s="776" customFormat="1">
      <c r="B46" s="1311"/>
      <c r="C46" s="1311"/>
      <c r="E46" s="787"/>
      <c r="I46" s="787"/>
      <c r="J46" s="787"/>
      <c r="L46" s="787"/>
      <c r="M46" s="787"/>
      <c r="N46" s="787"/>
      <c r="O46" s="787"/>
      <c r="P46" s="787"/>
      <c r="Q46" s="787"/>
    </row>
    <row r="47" spans="1:17" s="776" customFormat="1" ht="13.5" thickBot="1">
      <c r="A47" s="776">
        <f>+A45+1</f>
        <v>14</v>
      </c>
      <c r="B47" s="776" t="str">
        <f>"Company PBOP Expense (Ln "&amp;A43&amp;" + Ln  "&amp;A45&amp;")"</f>
        <v>Company PBOP Expense (Ln 12 + Ln  13)</v>
      </c>
      <c r="D47" s="801">
        <f>+D45+D41+D39+D37</f>
        <v>-13423426.967536405</v>
      </c>
      <c r="E47" s="802"/>
      <c r="F47" s="801">
        <f>+F45+F41+F39+F37</f>
        <v>-9449494.7861267738</v>
      </c>
      <c r="G47" s="801">
        <f>+G45+G41+G39+G37</f>
        <v>-3086020.4032220743</v>
      </c>
      <c r="H47" s="801">
        <f>+H45+H41+H39+H37</f>
        <v>-332473.27616654808</v>
      </c>
      <c r="I47" s="801">
        <f>+I45+I41+I39+I37</f>
        <v>-10485194.026077839</v>
      </c>
      <c r="J47" s="801">
        <f>+J45+J41+J39+J37</f>
        <v>-785018.6678671788</v>
      </c>
      <c r="K47" s="803">
        <f>SUM(D47:J47)</f>
        <v>-37561628.126996815</v>
      </c>
      <c r="L47" s="787"/>
      <c r="M47" s="787"/>
      <c r="N47" s="787"/>
      <c r="O47" s="787"/>
      <c r="P47" s="787"/>
      <c r="Q47" s="787"/>
    </row>
    <row r="48" spans="1:17" s="776" customFormat="1" ht="13.5" thickTop="1">
      <c r="I48" s="787"/>
      <c r="J48" s="787"/>
      <c r="K48" s="787"/>
      <c r="L48" s="787"/>
      <c r="M48" s="787"/>
      <c r="N48" s="787"/>
      <c r="O48" s="787"/>
      <c r="P48" s="787"/>
      <c r="Q48" s="787"/>
    </row>
    <row r="49" spans="1:17" s="776" customFormat="1">
      <c r="A49" s="1312" t="s">
        <v>846</v>
      </c>
      <c r="B49" s="1312"/>
      <c r="C49" s="1312"/>
      <c r="D49" s="1312"/>
      <c r="E49" s="1312"/>
      <c r="F49" s="1312"/>
      <c r="G49" s="1312"/>
      <c r="H49" s="1312"/>
      <c r="I49" s="1312"/>
      <c r="J49" s="1312"/>
      <c r="K49" s="1312"/>
      <c r="L49" s="804"/>
      <c r="M49" s="787"/>
      <c r="N49" s="787"/>
      <c r="O49" s="787"/>
      <c r="P49" s="787"/>
      <c r="Q49" s="787"/>
    </row>
    <row r="50" spans="1:17" s="776" customFormat="1">
      <c r="A50" s="1312"/>
      <c r="B50" s="1312"/>
      <c r="C50" s="1312"/>
      <c r="D50" s="1312"/>
      <c r="E50" s="1312"/>
      <c r="F50" s="1312"/>
      <c r="G50" s="1312"/>
      <c r="H50" s="1312"/>
      <c r="I50" s="1312"/>
      <c r="J50" s="1312"/>
      <c r="K50" s="1312"/>
      <c r="L50" s="787"/>
      <c r="M50" s="787"/>
      <c r="N50" s="787"/>
      <c r="O50" s="787"/>
      <c r="P50" s="787"/>
      <c r="Q50" s="787"/>
    </row>
    <row r="51" spans="1:17" s="776" customFormat="1">
      <c r="A51" s="1312"/>
      <c r="B51" s="1312"/>
      <c r="C51" s="1312"/>
      <c r="D51" s="1312"/>
      <c r="E51" s="1312"/>
      <c r="F51" s="1312"/>
      <c r="G51" s="1312"/>
      <c r="H51" s="1312"/>
      <c r="I51" s="1312"/>
      <c r="J51" s="1312"/>
      <c r="K51" s="1312"/>
      <c r="L51" s="787"/>
      <c r="M51" s="787"/>
      <c r="N51" s="787"/>
      <c r="O51" s="787"/>
      <c r="P51" s="787"/>
      <c r="Q51" s="787"/>
    </row>
    <row r="52" spans="1:17" s="776" customFormat="1">
      <c r="A52" s="1312"/>
      <c r="B52" s="1312"/>
      <c r="C52" s="1312"/>
      <c r="D52" s="1312"/>
      <c r="E52" s="1312"/>
      <c r="F52" s="1312"/>
      <c r="G52" s="1312"/>
      <c r="H52" s="1312"/>
      <c r="I52" s="1312"/>
      <c r="J52" s="1312"/>
      <c r="K52" s="1312"/>
      <c r="Q52" s="787"/>
    </row>
    <row r="53" spans="1:17" s="776" customFormat="1">
      <c r="A53" s="1312"/>
      <c r="B53" s="1312"/>
      <c r="C53" s="1312"/>
      <c r="D53" s="1312"/>
      <c r="E53" s="1312"/>
      <c r="F53" s="1312"/>
      <c r="G53" s="1312"/>
      <c r="H53" s="1312"/>
      <c r="I53" s="1312"/>
      <c r="J53" s="1312"/>
      <c r="K53" s="1312"/>
      <c r="Q53" s="787"/>
    </row>
    <row r="54" spans="1:17" s="776" customFormat="1">
      <c r="A54" s="1312"/>
      <c r="B54" s="1312"/>
      <c r="C54" s="1312"/>
      <c r="D54" s="1312"/>
      <c r="E54" s="1312"/>
      <c r="F54" s="1312"/>
      <c r="G54" s="1312"/>
      <c r="H54" s="1312"/>
      <c r="I54" s="1312"/>
      <c r="J54" s="1312"/>
      <c r="K54" s="1312"/>
      <c r="Q54" s="787"/>
    </row>
    <row r="55" spans="1:17" s="776" customFormat="1">
      <c r="A55" s="1312"/>
      <c r="B55" s="1312"/>
      <c r="C55" s="1312"/>
      <c r="D55" s="1312"/>
      <c r="E55" s="1312"/>
      <c r="F55" s="1312"/>
      <c r="G55" s="1312"/>
      <c r="H55" s="1312"/>
      <c r="I55" s="1312"/>
      <c r="J55" s="1312"/>
      <c r="K55" s="1312"/>
      <c r="Q55" s="787"/>
    </row>
    <row r="56" spans="1:17" s="776" customFormat="1">
      <c r="A56" s="1312"/>
      <c r="B56" s="1312"/>
      <c r="C56" s="1312"/>
      <c r="D56" s="1312"/>
      <c r="E56" s="1312"/>
      <c r="F56" s="1312"/>
      <c r="G56" s="1312"/>
      <c r="H56" s="1312"/>
      <c r="I56" s="1312"/>
      <c r="J56" s="1312"/>
      <c r="K56" s="1312"/>
      <c r="Q56" s="787"/>
    </row>
    <row r="57" spans="1:17" s="776" customFormat="1">
      <c r="A57" s="1312"/>
      <c r="B57" s="1312"/>
      <c r="C57" s="1312"/>
      <c r="D57" s="1312"/>
      <c r="E57" s="1312"/>
      <c r="F57" s="1312"/>
      <c r="G57" s="1312"/>
      <c r="H57" s="1312"/>
      <c r="I57" s="1312"/>
      <c r="J57" s="1312"/>
      <c r="K57" s="1312"/>
      <c r="Q57" s="787"/>
    </row>
  </sheetData>
  <mergeCells count="16">
    <mergeCell ref="B14:C14"/>
    <mergeCell ref="B39:C40"/>
    <mergeCell ref="B45:C46"/>
    <mergeCell ref="A49:K57"/>
    <mergeCell ref="C15:E15"/>
    <mergeCell ref="C16:C18"/>
    <mergeCell ref="D16:D18"/>
    <mergeCell ref="E16:E18"/>
    <mergeCell ref="I16:I18"/>
    <mergeCell ref="F17:F18"/>
    <mergeCell ref="H17:H18"/>
    <mergeCell ref="A3:K3"/>
    <mergeCell ref="A4:K4"/>
    <mergeCell ref="A5:K5"/>
    <mergeCell ref="A6:K6"/>
    <mergeCell ref="B9:M9"/>
  </mergeCells>
  <pageMargins left="0.32" right="0.25" top="1" bottom="0.43" header="0.75" footer="0.17"/>
  <pageSetup scale="63" orientation="landscape" r:id="rId1"/>
  <headerFooter alignWithMargins="0">
    <oddHeader>&amp;R&amp;"Arial,Bold"Formula Rate 
&amp;A
Page &amp;P of &amp;N</oddHeader>
  </headerFooter>
  <rowBreaks count="4" manualBreakCount="4">
    <brk id="90" max="18" man="1"/>
    <brk id="126" max="18" man="1"/>
    <brk id="160" max="18" man="1"/>
    <brk id="242" min="1" max="6"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38A09-BEC1-4C27-BE2B-3AD2D4422763}">
  <sheetPr transitionEvaluation="1">
    <pageSetUpPr fitToPage="1"/>
  </sheetPr>
  <dimension ref="A1:S56"/>
  <sheetViews>
    <sheetView defaultGridColor="0" colorId="22" zoomScale="70" zoomScaleNormal="70" workbookViewId="0">
      <selection activeCell="A2" sqref="A2"/>
    </sheetView>
  </sheetViews>
  <sheetFormatPr defaultColWidth="14.7109375" defaultRowHeight="12.75"/>
  <cols>
    <col min="1" max="1" width="33.140625" style="1060" customWidth="1"/>
    <col min="2" max="2" width="11" style="1060" customWidth="1"/>
    <col min="3" max="3" width="16.85546875" style="1060" customWidth="1"/>
    <col min="4" max="4" width="16.7109375" style="1060" customWidth="1"/>
    <col min="5" max="5" width="14.7109375" style="1060" customWidth="1"/>
    <col min="6" max="6" width="4.85546875" style="1060" customWidth="1"/>
    <col min="7" max="7" width="14.7109375" style="1060" customWidth="1"/>
    <col min="8" max="8" width="18.28515625" style="1060" customWidth="1"/>
    <col min="9" max="9" width="15.5703125" style="1060" customWidth="1"/>
    <col min="10" max="10" width="6.140625" style="1060" customWidth="1"/>
    <col min="11" max="11" width="14.7109375" style="1060" customWidth="1"/>
    <col min="12" max="12" width="16.140625" style="1060" customWidth="1"/>
    <col min="13" max="13" width="14.7109375" style="1060" customWidth="1"/>
    <col min="14" max="14" width="4.85546875" style="1060" customWidth="1"/>
    <col min="15" max="15" width="18.5703125" style="1060" customWidth="1"/>
    <col min="16" max="256" width="14.7109375" style="1060"/>
    <col min="257" max="257" width="33.140625" style="1060" customWidth="1"/>
    <col min="258" max="258" width="11" style="1060" customWidth="1"/>
    <col min="259" max="259" width="16.85546875" style="1060" customWidth="1"/>
    <col min="260" max="260" width="16.7109375" style="1060" customWidth="1"/>
    <col min="261" max="261" width="14.7109375" style="1060" customWidth="1"/>
    <col min="262" max="262" width="4.85546875" style="1060" customWidth="1"/>
    <col min="263" max="263" width="14.7109375" style="1060" customWidth="1"/>
    <col min="264" max="264" width="18.28515625" style="1060" customWidth="1"/>
    <col min="265" max="265" width="15.5703125" style="1060" customWidth="1"/>
    <col min="266" max="266" width="6.140625" style="1060" customWidth="1"/>
    <col min="267" max="267" width="14.7109375" style="1060" customWidth="1"/>
    <col min="268" max="268" width="16.140625" style="1060" customWidth="1"/>
    <col min="269" max="269" width="14.7109375" style="1060" customWidth="1"/>
    <col min="270" max="270" width="4.85546875" style="1060" customWidth="1"/>
    <col min="271" max="271" width="18.5703125" style="1060" customWidth="1"/>
    <col min="272" max="512" width="14.7109375" style="1060"/>
    <col min="513" max="513" width="33.140625" style="1060" customWidth="1"/>
    <col min="514" max="514" width="11" style="1060" customWidth="1"/>
    <col min="515" max="515" width="16.85546875" style="1060" customWidth="1"/>
    <col min="516" max="516" width="16.7109375" style="1060" customWidth="1"/>
    <col min="517" max="517" width="14.7109375" style="1060" customWidth="1"/>
    <col min="518" max="518" width="4.85546875" style="1060" customWidth="1"/>
    <col min="519" max="519" width="14.7109375" style="1060" customWidth="1"/>
    <col min="520" max="520" width="18.28515625" style="1060" customWidth="1"/>
    <col min="521" max="521" width="15.5703125" style="1060" customWidth="1"/>
    <col min="522" max="522" width="6.140625" style="1060" customWidth="1"/>
    <col min="523" max="523" width="14.7109375" style="1060" customWidth="1"/>
    <col min="524" max="524" width="16.140625" style="1060" customWidth="1"/>
    <col min="525" max="525" width="14.7109375" style="1060" customWidth="1"/>
    <col min="526" max="526" width="4.85546875" style="1060" customWidth="1"/>
    <col min="527" max="527" width="18.5703125" style="1060" customWidth="1"/>
    <col min="528" max="768" width="14.7109375" style="1060"/>
    <col min="769" max="769" width="33.140625" style="1060" customWidth="1"/>
    <col min="770" max="770" width="11" style="1060" customWidth="1"/>
    <col min="771" max="771" width="16.85546875" style="1060" customWidth="1"/>
    <col min="772" max="772" width="16.7109375" style="1060" customWidth="1"/>
    <col min="773" max="773" width="14.7109375" style="1060" customWidth="1"/>
    <col min="774" max="774" width="4.85546875" style="1060" customWidth="1"/>
    <col min="775" max="775" width="14.7109375" style="1060" customWidth="1"/>
    <col min="776" max="776" width="18.28515625" style="1060" customWidth="1"/>
    <col min="777" max="777" width="15.5703125" style="1060" customWidth="1"/>
    <col min="778" max="778" width="6.140625" style="1060" customWidth="1"/>
    <col min="779" max="779" width="14.7109375" style="1060" customWidth="1"/>
    <col min="780" max="780" width="16.140625" style="1060" customWidth="1"/>
    <col min="781" max="781" width="14.7109375" style="1060" customWidth="1"/>
    <col min="782" max="782" width="4.85546875" style="1060" customWidth="1"/>
    <col min="783" max="783" width="18.5703125" style="1060" customWidth="1"/>
    <col min="784" max="1024" width="14.7109375" style="1060"/>
    <col min="1025" max="1025" width="33.140625" style="1060" customWidth="1"/>
    <col min="1026" max="1026" width="11" style="1060" customWidth="1"/>
    <col min="1027" max="1027" width="16.85546875" style="1060" customWidth="1"/>
    <col min="1028" max="1028" width="16.7109375" style="1060" customWidth="1"/>
    <col min="1029" max="1029" width="14.7109375" style="1060" customWidth="1"/>
    <col min="1030" max="1030" width="4.85546875" style="1060" customWidth="1"/>
    <col min="1031" max="1031" width="14.7109375" style="1060" customWidth="1"/>
    <col min="1032" max="1032" width="18.28515625" style="1060" customWidth="1"/>
    <col min="1033" max="1033" width="15.5703125" style="1060" customWidth="1"/>
    <col min="1034" max="1034" width="6.140625" style="1060" customWidth="1"/>
    <col min="1035" max="1035" width="14.7109375" style="1060" customWidth="1"/>
    <col min="1036" max="1036" width="16.140625" style="1060" customWidth="1"/>
    <col min="1037" max="1037" width="14.7109375" style="1060" customWidth="1"/>
    <col min="1038" max="1038" width="4.85546875" style="1060" customWidth="1"/>
    <col min="1039" max="1039" width="18.5703125" style="1060" customWidth="1"/>
    <col min="1040" max="1280" width="14.7109375" style="1060"/>
    <col min="1281" max="1281" width="33.140625" style="1060" customWidth="1"/>
    <col min="1282" max="1282" width="11" style="1060" customWidth="1"/>
    <col min="1283" max="1283" width="16.85546875" style="1060" customWidth="1"/>
    <col min="1284" max="1284" width="16.7109375" style="1060" customWidth="1"/>
    <col min="1285" max="1285" width="14.7109375" style="1060" customWidth="1"/>
    <col min="1286" max="1286" width="4.85546875" style="1060" customWidth="1"/>
    <col min="1287" max="1287" width="14.7109375" style="1060" customWidth="1"/>
    <col min="1288" max="1288" width="18.28515625" style="1060" customWidth="1"/>
    <col min="1289" max="1289" width="15.5703125" style="1060" customWidth="1"/>
    <col min="1290" max="1290" width="6.140625" style="1060" customWidth="1"/>
    <col min="1291" max="1291" width="14.7109375" style="1060" customWidth="1"/>
    <col min="1292" max="1292" width="16.140625" style="1060" customWidth="1"/>
    <col min="1293" max="1293" width="14.7109375" style="1060" customWidth="1"/>
    <col min="1294" max="1294" width="4.85546875" style="1060" customWidth="1"/>
    <col min="1295" max="1295" width="18.5703125" style="1060" customWidth="1"/>
    <col min="1296" max="1536" width="14.7109375" style="1060"/>
    <col min="1537" max="1537" width="33.140625" style="1060" customWidth="1"/>
    <col min="1538" max="1538" width="11" style="1060" customWidth="1"/>
    <col min="1539" max="1539" width="16.85546875" style="1060" customWidth="1"/>
    <col min="1540" max="1540" width="16.7109375" style="1060" customWidth="1"/>
    <col min="1541" max="1541" width="14.7109375" style="1060" customWidth="1"/>
    <col min="1542" max="1542" width="4.85546875" style="1060" customWidth="1"/>
    <col min="1543" max="1543" width="14.7109375" style="1060" customWidth="1"/>
    <col min="1544" max="1544" width="18.28515625" style="1060" customWidth="1"/>
    <col min="1545" max="1545" width="15.5703125" style="1060" customWidth="1"/>
    <col min="1546" max="1546" width="6.140625" style="1060" customWidth="1"/>
    <col min="1547" max="1547" width="14.7109375" style="1060" customWidth="1"/>
    <col min="1548" max="1548" width="16.140625" style="1060" customWidth="1"/>
    <col min="1549" max="1549" width="14.7109375" style="1060" customWidth="1"/>
    <col min="1550" max="1550" width="4.85546875" style="1060" customWidth="1"/>
    <col min="1551" max="1551" width="18.5703125" style="1060" customWidth="1"/>
    <col min="1552" max="1792" width="14.7109375" style="1060"/>
    <col min="1793" max="1793" width="33.140625" style="1060" customWidth="1"/>
    <col min="1794" max="1794" width="11" style="1060" customWidth="1"/>
    <col min="1795" max="1795" width="16.85546875" style="1060" customWidth="1"/>
    <col min="1796" max="1796" width="16.7109375" style="1060" customWidth="1"/>
    <col min="1797" max="1797" width="14.7109375" style="1060" customWidth="1"/>
    <col min="1798" max="1798" width="4.85546875" style="1060" customWidth="1"/>
    <col min="1799" max="1799" width="14.7109375" style="1060" customWidth="1"/>
    <col min="1800" max="1800" width="18.28515625" style="1060" customWidth="1"/>
    <col min="1801" max="1801" width="15.5703125" style="1060" customWidth="1"/>
    <col min="1802" max="1802" width="6.140625" style="1060" customWidth="1"/>
    <col min="1803" max="1803" width="14.7109375" style="1060" customWidth="1"/>
    <col min="1804" max="1804" width="16.140625" style="1060" customWidth="1"/>
    <col min="1805" max="1805" width="14.7109375" style="1060" customWidth="1"/>
    <col min="1806" max="1806" width="4.85546875" style="1060" customWidth="1"/>
    <col min="1807" max="1807" width="18.5703125" style="1060" customWidth="1"/>
    <col min="1808" max="2048" width="14.7109375" style="1060"/>
    <col min="2049" max="2049" width="33.140625" style="1060" customWidth="1"/>
    <col min="2050" max="2050" width="11" style="1060" customWidth="1"/>
    <col min="2051" max="2051" width="16.85546875" style="1060" customWidth="1"/>
    <col min="2052" max="2052" width="16.7109375" style="1060" customWidth="1"/>
    <col min="2053" max="2053" width="14.7109375" style="1060" customWidth="1"/>
    <col min="2054" max="2054" width="4.85546875" style="1060" customWidth="1"/>
    <col min="2055" max="2055" width="14.7109375" style="1060" customWidth="1"/>
    <col min="2056" max="2056" width="18.28515625" style="1060" customWidth="1"/>
    <col min="2057" max="2057" width="15.5703125" style="1060" customWidth="1"/>
    <col min="2058" max="2058" width="6.140625" style="1060" customWidth="1"/>
    <col min="2059" max="2059" width="14.7109375" style="1060" customWidth="1"/>
    <col min="2060" max="2060" width="16.140625" style="1060" customWidth="1"/>
    <col min="2061" max="2061" width="14.7109375" style="1060" customWidth="1"/>
    <col min="2062" max="2062" width="4.85546875" style="1060" customWidth="1"/>
    <col min="2063" max="2063" width="18.5703125" style="1060" customWidth="1"/>
    <col min="2064" max="2304" width="14.7109375" style="1060"/>
    <col min="2305" max="2305" width="33.140625" style="1060" customWidth="1"/>
    <col min="2306" max="2306" width="11" style="1060" customWidth="1"/>
    <col min="2307" max="2307" width="16.85546875" style="1060" customWidth="1"/>
    <col min="2308" max="2308" width="16.7109375" style="1060" customWidth="1"/>
    <col min="2309" max="2309" width="14.7109375" style="1060" customWidth="1"/>
    <col min="2310" max="2310" width="4.85546875" style="1060" customWidth="1"/>
    <col min="2311" max="2311" width="14.7109375" style="1060" customWidth="1"/>
    <col min="2312" max="2312" width="18.28515625" style="1060" customWidth="1"/>
    <col min="2313" max="2313" width="15.5703125" style="1060" customWidth="1"/>
    <col min="2314" max="2314" width="6.140625" style="1060" customWidth="1"/>
    <col min="2315" max="2315" width="14.7109375" style="1060" customWidth="1"/>
    <col min="2316" max="2316" width="16.140625" style="1060" customWidth="1"/>
    <col min="2317" max="2317" width="14.7109375" style="1060" customWidth="1"/>
    <col min="2318" max="2318" width="4.85546875" style="1060" customWidth="1"/>
    <col min="2319" max="2319" width="18.5703125" style="1060" customWidth="1"/>
    <col min="2320" max="2560" width="14.7109375" style="1060"/>
    <col min="2561" max="2561" width="33.140625" style="1060" customWidth="1"/>
    <col min="2562" max="2562" width="11" style="1060" customWidth="1"/>
    <col min="2563" max="2563" width="16.85546875" style="1060" customWidth="1"/>
    <col min="2564" max="2564" width="16.7109375" style="1060" customWidth="1"/>
    <col min="2565" max="2565" width="14.7109375" style="1060" customWidth="1"/>
    <col min="2566" max="2566" width="4.85546875" style="1060" customWidth="1"/>
    <col min="2567" max="2567" width="14.7109375" style="1060" customWidth="1"/>
    <col min="2568" max="2568" width="18.28515625" style="1060" customWidth="1"/>
    <col min="2569" max="2569" width="15.5703125" style="1060" customWidth="1"/>
    <col min="2570" max="2570" width="6.140625" style="1060" customWidth="1"/>
    <col min="2571" max="2571" width="14.7109375" style="1060" customWidth="1"/>
    <col min="2572" max="2572" width="16.140625" style="1060" customWidth="1"/>
    <col min="2573" max="2573" width="14.7109375" style="1060" customWidth="1"/>
    <col min="2574" max="2574" width="4.85546875" style="1060" customWidth="1"/>
    <col min="2575" max="2575" width="18.5703125" style="1060" customWidth="1"/>
    <col min="2576" max="2816" width="14.7109375" style="1060"/>
    <col min="2817" max="2817" width="33.140625" style="1060" customWidth="1"/>
    <col min="2818" max="2818" width="11" style="1060" customWidth="1"/>
    <col min="2819" max="2819" width="16.85546875" style="1060" customWidth="1"/>
    <col min="2820" max="2820" width="16.7109375" style="1060" customWidth="1"/>
    <col min="2821" max="2821" width="14.7109375" style="1060" customWidth="1"/>
    <col min="2822" max="2822" width="4.85546875" style="1060" customWidth="1"/>
    <col min="2823" max="2823" width="14.7109375" style="1060" customWidth="1"/>
    <col min="2824" max="2824" width="18.28515625" style="1060" customWidth="1"/>
    <col min="2825" max="2825" width="15.5703125" style="1060" customWidth="1"/>
    <col min="2826" max="2826" width="6.140625" style="1060" customWidth="1"/>
    <col min="2827" max="2827" width="14.7109375" style="1060" customWidth="1"/>
    <col min="2828" max="2828" width="16.140625" style="1060" customWidth="1"/>
    <col min="2829" max="2829" width="14.7109375" style="1060" customWidth="1"/>
    <col min="2830" max="2830" width="4.85546875" style="1060" customWidth="1"/>
    <col min="2831" max="2831" width="18.5703125" style="1060" customWidth="1"/>
    <col min="2832" max="3072" width="14.7109375" style="1060"/>
    <col min="3073" max="3073" width="33.140625" style="1060" customWidth="1"/>
    <col min="3074" max="3074" width="11" style="1060" customWidth="1"/>
    <col min="3075" max="3075" width="16.85546875" style="1060" customWidth="1"/>
    <col min="3076" max="3076" width="16.7109375" style="1060" customWidth="1"/>
    <col min="3077" max="3077" width="14.7109375" style="1060" customWidth="1"/>
    <col min="3078" max="3078" width="4.85546875" style="1060" customWidth="1"/>
    <col min="3079" max="3079" width="14.7109375" style="1060" customWidth="1"/>
    <col min="3080" max="3080" width="18.28515625" style="1060" customWidth="1"/>
    <col min="3081" max="3081" width="15.5703125" style="1060" customWidth="1"/>
    <col min="3082" max="3082" width="6.140625" style="1060" customWidth="1"/>
    <col min="3083" max="3083" width="14.7109375" style="1060" customWidth="1"/>
    <col min="3084" max="3084" width="16.140625" style="1060" customWidth="1"/>
    <col min="3085" max="3085" width="14.7109375" style="1060" customWidth="1"/>
    <col min="3086" max="3086" width="4.85546875" style="1060" customWidth="1"/>
    <col min="3087" max="3087" width="18.5703125" style="1060" customWidth="1"/>
    <col min="3088" max="3328" width="14.7109375" style="1060"/>
    <col min="3329" max="3329" width="33.140625" style="1060" customWidth="1"/>
    <col min="3330" max="3330" width="11" style="1060" customWidth="1"/>
    <col min="3331" max="3331" width="16.85546875" style="1060" customWidth="1"/>
    <col min="3332" max="3332" width="16.7109375" style="1060" customWidth="1"/>
    <col min="3333" max="3333" width="14.7109375" style="1060" customWidth="1"/>
    <col min="3334" max="3334" width="4.85546875" style="1060" customWidth="1"/>
    <col min="3335" max="3335" width="14.7109375" style="1060" customWidth="1"/>
    <col min="3336" max="3336" width="18.28515625" style="1060" customWidth="1"/>
    <col min="3337" max="3337" width="15.5703125" style="1060" customWidth="1"/>
    <col min="3338" max="3338" width="6.140625" style="1060" customWidth="1"/>
    <col min="3339" max="3339" width="14.7109375" style="1060" customWidth="1"/>
    <col min="3340" max="3340" width="16.140625" style="1060" customWidth="1"/>
    <col min="3341" max="3341" width="14.7109375" style="1060" customWidth="1"/>
    <col min="3342" max="3342" width="4.85546875" style="1060" customWidth="1"/>
    <col min="3343" max="3343" width="18.5703125" style="1060" customWidth="1"/>
    <col min="3344" max="3584" width="14.7109375" style="1060"/>
    <col min="3585" max="3585" width="33.140625" style="1060" customWidth="1"/>
    <col min="3586" max="3586" width="11" style="1060" customWidth="1"/>
    <col min="3587" max="3587" width="16.85546875" style="1060" customWidth="1"/>
    <col min="3588" max="3588" width="16.7109375" style="1060" customWidth="1"/>
    <col min="3589" max="3589" width="14.7109375" style="1060" customWidth="1"/>
    <col min="3590" max="3590" width="4.85546875" style="1060" customWidth="1"/>
    <col min="3591" max="3591" width="14.7109375" style="1060" customWidth="1"/>
    <col min="3592" max="3592" width="18.28515625" style="1060" customWidth="1"/>
    <col min="3593" max="3593" width="15.5703125" style="1060" customWidth="1"/>
    <col min="3594" max="3594" width="6.140625" style="1060" customWidth="1"/>
    <col min="3595" max="3595" width="14.7109375" style="1060" customWidth="1"/>
    <col min="3596" max="3596" width="16.140625" style="1060" customWidth="1"/>
    <col min="3597" max="3597" width="14.7109375" style="1060" customWidth="1"/>
    <col min="3598" max="3598" width="4.85546875" style="1060" customWidth="1"/>
    <col min="3599" max="3599" width="18.5703125" style="1060" customWidth="1"/>
    <col min="3600" max="3840" width="14.7109375" style="1060"/>
    <col min="3841" max="3841" width="33.140625" style="1060" customWidth="1"/>
    <col min="3842" max="3842" width="11" style="1060" customWidth="1"/>
    <col min="3843" max="3843" width="16.85546875" style="1060" customWidth="1"/>
    <col min="3844" max="3844" width="16.7109375" style="1060" customWidth="1"/>
    <col min="3845" max="3845" width="14.7109375" style="1060" customWidth="1"/>
    <col min="3846" max="3846" width="4.85546875" style="1060" customWidth="1"/>
    <col min="3847" max="3847" width="14.7109375" style="1060" customWidth="1"/>
    <col min="3848" max="3848" width="18.28515625" style="1060" customWidth="1"/>
    <col min="3849" max="3849" width="15.5703125" style="1060" customWidth="1"/>
    <col min="3850" max="3850" width="6.140625" style="1060" customWidth="1"/>
    <col min="3851" max="3851" width="14.7109375" style="1060" customWidth="1"/>
    <col min="3852" max="3852" width="16.140625" style="1060" customWidth="1"/>
    <col min="3853" max="3853" width="14.7109375" style="1060" customWidth="1"/>
    <col min="3854" max="3854" width="4.85546875" style="1060" customWidth="1"/>
    <col min="3855" max="3855" width="18.5703125" style="1060" customWidth="1"/>
    <col min="3856" max="4096" width="14.7109375" style="1060"/>
    <col min="4097" max="4097" width="33.140625" style="1060" customWidth="1"/>
    <col min="4098" max="4098" width="11" style="1060" customWidth="1"/>
    <col min="4099" max="4099" width="16.85546875" style="1060" customWidth="1"/>
    <col min="4100" max="4100" width="16.7109375" style="1060" customWidth="1"/>
    <col min="4101" max="4101" width="14.7109375" style="1060" customWidth="1"/>
    <col min="4102" max="4102" width="4.85546875" style="1060" customWidth="1"/>
    <col min="4103" max="4103" width="14.7109375" style="1060" customWidth="1"/>
    <col min="4104" max="4104" width="18.28515625" style="1060" customWidth="1"/>
    <col min="4105" max="4105" width="15.5703125" style="1060" customWidth="1"/>
    <col min="4106" max="4106" width="6.140625" style="1060" customWidth="1"/>
    <col min="4107" max="4107" width="14.7109375" style="1060" customWidth="1"/>
    <col min="4108" max="4108" width="16.140625" style="1060" customWidth="1"/>
    <col min="4109" max="4109" width="14.7109375" style="1060" customWidth="1"/>
    <col min="4110" max="4110" width="4.85546875" style="1060" customWidth="1"/>
    <col min="4111" max="4111" width="18.5703125" style="1060" customWidth="1"/>
    <col min="4112" max="4352" width="14.7109375" style="1060"/>
    <col min="4353" max="4353" width="33.140625" style="1060" customWidth="1"/>
    <col min="4354" max="4354" width="11" style="1060" customWidth="1"/>
    <col min="4355" max="4355" width="16.85546875" style="1060" customWidth="1"/>
    <col min="4356" max="4356" width="16.7109375" style="1060" customWidth="1"/>
    <col min="4357" max="4357" width="14.7109375" style="1060" customWidth="1"/>
    <col min="4358" max="4358" width="4.85546875" style="1060" customWidth="1"/>
    <col min="4359" max="4359" width="14.7109375" style="1060" customWidth="1"/>
    <col min="4360" max="4360" width="18.28515625" style="1060" customWidth="1"/>
    <col min="4361" max="4361" width="15.5703125" style="1060" customWidth="1"/>
    <col min="4362" max="4362" width="6.140625" style="1060" customWidth="1"/>
    <col min="4363" max="4363" width="14.7109375" style="1060" customWidth="1"/>
    <col min="4364" max="4364" width="16.140625" style="1060" customWidth="1"/>
    <col min="4365" max="4365" width="14.7109375" style="1060" customWidth="1"/>
    <col min="4366" max="4366" width="4.85546875" style="1060" customWidth="1"/>
    <col min="4367" max="4367" width="18.5703125" style="1060" customWidth="1"/>
    <col min="4368" max="4608" width="14.7109375" style="1060"/>
    <col min="4609" max="4609" width="33.140625" style="1060" customWidth="1"/>
    <col min="4610" max="4610" width="11" style="1060" customWidth="1"/>
    <col min="4611" max="4611" width="16.85546875" style="1060" customWidth="1"/>
    <col min="4612" max="4612" width="16.7109375" style="1060" customWidth="1"/>
    <col min="4613" max="4613" width="14.7109375" style="1060" customWidth="1"/>
    <col min="4614" max="4614" width="4.85546875" style="1060" customWidth="1"/>
    <col min="4615" max="4615" width="14.7109375" style="1060" customWidth="1"/>
    <col min="4616" max="4616" width="18.28515625" style="1060" customWidth="1"/>
    <col min="4617" max="4617" width="15.5703125" style="1060" customWidth="1"/>
    <col min="4618" max="4618" width="6.140625" style="1060" customWidth="1"/>
    <col min="4619" max="4619" width="14.7109375" style="1060" customWidth="1"/>
    <col min="4620" max="4620" width="16.140625" style="1060" customWidth="1"/>
    <col min="4621" max="4621" width="14.7109375" style="1060" customWidth="1"/>
    <col min="4622" max="4622" width="4.85546875" style="1060" customWidth="1"/>
    <col min="4623" max="4623" width="18.5703125" style="1060" customWidth="1"/>
    <col min="4624" max="4864" width="14.7109375" style="1060"/>
    <col min="4865" max="4865" width="33.140625" style="1060" customWidth="1"/>
    <col min="4866" max="4866" width="11" style="1060" customWidth="1"/>
    <col min="4867" max="4867" width="16.85546875" style="1060" customWidth="1"/>
    <col min="4868" max="4868" width="16.7109375" style="1060" customWidth="1"/>
    <col min="4869" max="4869" width="14.7109375" style="1060" customWidth="1"/>
    <col min="4870" max="4870" width="4.85546875" style="1060" customWidth="1"/>
    <col min="4871" max="4871" width="14.7109375" style="1060" customWidth="1"/>
    <col min="4872" max="4872" width="18.28515625" style="1060" customWidth="1"/>
    <col min="4873" max="4873" width="15.5703125" style="1060" customWidth="1"/>
    <col min="4874" max="4874" width="6.140625" style="1060" customWidth="1"/>
    <col min="4875" max="4875" width="14.7109375" style="1060" customWidth="1"/>
    <col min="4876" max="4876" width="16.140625" style="1060" customWidth="1"/>
    <col min="4877" max="4877" width="14.7109375" style="1060" customWidth="1"/>
    <col min="4878" max="4878" width="4.85546875" style="1060" customWidth="1"/>
    <col min="4879" max="4879" width="18.5703125" style="1060" customWidth="1"/>
    <col min="4880" max="5120" width="14.7109375" style="1060"/>
    <col min="5121" max="5121" width="33.140625" style="1060" customWidth="1"/>
    <col min="5122" max="5122" width="11" style="1060" customWidth="1"/>
    <col min="5123" max="5123" width="16.85546875" style="1060" customWidth="1"/>
    <col min="5124" max="5124" width="16.7109375" style="1060" customWidth="1"/>
    <col min="5125" max="5125" width="14.7109375" style="1060" customWidth="1"/>
    <col min="5126" max="5126" width="4.85546875" style="1060" customWidth="1"/>
    <col min="5127" max="5127" width="14.7109375" style="1060" customWidth="1"/>
    <col min="5128" max="5128" width="18.28515625" style="1060" customWidth="1"/>
    <col min="5129" max="5129" width="15.5703125" style="1060" customWidth="1"/>
    <col min="5130" max="5130" width="6.140625" style="1060" customWidth="1"/>
    <col min="5131" max="5131" width="14.7109375" style="1060" customWidth="1"/>
    <col min="5132" max="5132" width="16.140625" style="1060" customWidth="1"/>
    <col min="5133" max="5133" width="14.7109375" style="1060" customWidth="1"/>
    <col min="5134" max="5134" width="4.85546875" style="1060" customWidth="1"/>
    <col min="5135" max="5135" width="18.5703125" style="1060" customWidth="1"/>
    <col min="5136" max="5376" width="14.7109375" style="1060"/>
    <col min="5377" max="5377" width="33.140625" style="1060" customWidth="1"/>
    <col min="5378" max="5378" width="11" style="1060" customWidth="1"/>
    <col min="5379" max="5379" width="16.85546875" style="1060" customWidth="1"/>
    <col min="5380" max="5380" width="16.7109375" style="1060" customWidth="1"/>
    <col min="5381" max="5381" width="14.7109375" style="1060" customWidth="1"/>
    <col min="5382" max="5382" width="4.85546875" style="1060" customWidth="1"/>
    <col min="5383" max="5383" width="14.7109375" style="1060" customWidth="1"/>
    <col min="5384" max="5384" width="18.28515625" style="1060" customWidth="1"/>
    <col min="5385" max="5385" width="15.5703125" style="1060" customWidth="1"/>
    <col min="5386" max="5386" width="6.140625" style="1060" customWidth="1"/>
    <col min="5387" max="5387" width="14.7109375" style="1060" customWidth="1"/>
    <col min="5388" max="5388" width="16.140625" style="1060" customWidth="1"/>
    <col min="5389" max="5389" width="14.7109375" style="1060" customWidth="1"/>
    <col min="5390" max="5390" width="4.85546875" style="1060" customWidth="1"/>
    <col min="5391" max="5391" width="18.5703125" style="1060" customWidth="1"/>
    <col min="5392" max="5632" width="14.7109375" style="1060"/>
    <col min="5633" max="5633" width="33.140625" style="1060" customWidth="1"/>
    <col min="5634" max="5634" width="11" style="1060" customWidth="1"/>
    <col min="5635" max="5635" width="16.85546875" style="1060" customWidth="1"/>
    <col min="5636" max="5636" width="16.7109375" style="1060" customWidth="1"/>
    <col min="5637" max="5637" width="14.7109375" style="1060" customWidth="1"/>
    <col min="5638" max="5638" width="4.85546875" style="1060" customWidth="1"/>
    <col min="5639" max="5639" width="14.7109375" style="1060" customWidth="1"/>
    <col min="5640" max="5640" width="18.28515625" style="1060" customWidth="1"/>
    <col min="5641" max="5641" width="15.5703125" style="1060" customWidth="1"/>
    <col min="5642" max="5642" width="6.140625" style="1060" customWidth="1"/>
    <col min="5643" max="5643" width="14.7109375" style="1060" customWidth="1"/>
    <col min="5644" max="5644" width="16.140625" style="1060" customWidth="1"/>
    <col min="5645" max="5645" width="14.7109375" style="1060" customWidth="1"/>
    <col min="5646" max="5646" width="4.85546875" style="1060" customWidth="1"/>
    <col min="5647" max="5647" width="18.5703125" style="1060" customWidth="1"/>
    <col min="5648" max="5888" width="14.7109375" style="1060"/>
    <col min="5889" max="5889" width="33.140625" style="1060" customWidth="1"/>
    <col min="5890" max="5890" width="11" style="1060" customWidth="1"/>
    <col min="5891" max="5891" width="16.85546875" style="1060" customWidth="1"/>
    <col min="5892" max="5892" width="16.7109375" style="1060" customWidth="1"/>
    <col min="5893" max="5893" width="14.7109375" style="1060" customWidth="1"/>
    <col min="5894" max="5894" width="4.85546875" style="1060" customWidth="1"/>
    <col min="5895" max="5895" width="14.7109375" style="1060" customWidth="1"/>
    <col min="5896" max="5896" width="18.28515625" style="1060" customWidth="1"/>
    <col min="5897" max="5897" width="15.5703125" style="1060" customWidth="1"/>
    <col min="5898" max="5898" width="6.140625" style="1060" customWidth="1"/>
    <col min="5899" max="5899" width="14.7109375" style="1060" customWidth="1"/>
    <col min="5900" max="5900" width="16.140625" style="1060" customWidth="1"/>
    <col min="5901" max="5901" width="14.7109375" style="1060" customWidth="1"/>
    <col min="5902" max="5902" width="4.85546875" style="1060" customWidth="1"/>
    <col min="5903" max="5903" width="18.5703125" style="1060" customWidth="1"/>
    <col min="5904" max="6144" width="14.7109375" style="1060"/>
    <col min="6145" max="6145" width="33.140625" style="1060" customWidth="1"/>
    <col min="6146" max="6146" width="11" style="1060" customWidth="1"/>
    <col min="6147" max="6147" width="16.85546875" style="1060" customWidth="1"/>
    <col min="6148" max="6148" width="16.7109375" style="1060" customWidth="1"/>
    <col min="6149" max="6149" width="14.7109375" style="1060" customWidth="1"/>
    <col min="6150" max="6150" width="4.85546875" style="1060" customWidth="1"/>
    <col min="6151" max="6151" width="14.7109375" style="1060" customWidth="1"/>
    <col min="6152" max="6152" width="18.28515625" style="1060" customWidth="1"/>
    <col min="6153" max="6153" width="15.5703125" style="1060" customWidth="1"/>
    <col min="6154" max="6154" width="6.140625" style="1060" customWidth="1"/>
    <col min="6155" max="6155" width="14.7109375" style="1060" customWidth="1"/>
    <col min="6156" max="6156" width="16.140625" style="1060" customWidth="1"/>
    <col min="6157" max="6157" width="14.7109375" style="1060" customWidth="1"/>
    <col min="6158" max="6158" width="4.85546875" style="1060" customWidth="1"/>
    <col min="6159" max="6159" width="18.5703125" style="1060" customWidth="1"/>
    <col min="6160" max="6400" width="14.7109375" style="1060"/>
    <col min="6401" max="6401" width="33.140625" style="1060" customWidth="1"/>
    <col min="6402" max="6402" width="11" style="1060" customWidth="1"/>
    <col min="6403" max="6403" width="16.85546875" style="1060" customWidth="1"/>
    <col min="6404" max="6404" width="16.7109375" style="1060" customWidth="1"/>
    <col min="6405" max="6405" width="14.7109375" style="1060" customWidth="1"/>
    <col min="6406" max="6406" width="4.85546875" style="1060" customWidth="1"/>
    <col min="6407" max="6407" width="14.7109375" style="1060" customWidth="1"/>
    <col min="6408" max="6408" width="18.28515625" style="1060" customWidth="1"/>
    <col min="6409" max="6409" width="15.5703125" style="1060" customWidth="1"/>
    <col min="6410" max="6410" width="6.140625" style="1060" customWidth="1"/>
    <col min="6411" max="6411" width="14.7109375" style="1060" customWidth="1"/>
    <col min="6412" max="6412" width="16.140625" style="1060" customWidth="1"/>
    <col min="6413" max="6413" width="14.7109375" style="1060" customWidth="1"/>
    <col min="6414" max="6414" width="4.85546875" style="1060" customWidth="1"/>
    <col min="6415" max="6415" width="18.5703125" style="1060" customWidth="1"/>
    <col min="6416" max="6656" width="14.7109375" style="1060"/>
    <col min="6657" max="6657" width="33.140625" style="1060" customWidth="1"/>
    <col min="6658" max="6658" width="11" style="1060" customWidth="1"/>
    <col min="6659" max="6659" width="16.85546875" style="1060" customWidth="1"/>
    <col min="6660" max="6660" width="16.7109375" style="1060" customWidth="1"/>
    <col min="6661" max="6661" width="14.7109375" style="1060" customWidth="1"/>
    <col min="6662" max="6662" width="4.85546875" style="1060" customWidth="1"/>
    <col min="6663" max="6663" width="14.7109375" style="1060" customWidth="1"/>
    <col min="6664" max="6664" width="18.28515625" style="1060" customWidth="1"/>
    <col min="6665" max="6665" width="15.5703125" style="1060" customWidth="1"/>
    <col min="6666" max="6666" width="6.140625" style="1060" customWidth="1"/>
    <col min="6667" max="6667" width="14.7109375" style="1060" customWidth="1"/>
    <col min="6668" max="6668" width="16.140625" style="1060" customWidth="1"/>
    <col min="6669" max="6669" width="14.7109375" style="1060" customWidth="1"/>
    <col min="6670" max="6670" width="4.85546875" style="1060" customWidth="1"/>
    <col min="6671" max="6671" width="18.5703125" style="1060" customWidth="1"/>
    <col min="6672" max="6912" width="14.7109375" style="1060"/>
    <col min="6913" max="6913" width="33.140625" style="1060" customWidth="1"/>
    <col min="6914" max="6914" width="11" style="1060" customWidth="1"/>
    <col min="6915" max="6915" width="16.85546875" style="1060" customWidth="1"/>
    <col min="6916" max="6916" width="16.7109375" style="1060" customWidth="1"/>
    <col min="6917" max="6917" width="14.7109375" style="1060" customWidth="1"/>
    <col min="6918" max="6918" width="4.85546875" style="1060" customWidth="1"/>
    <col min="6919" max="6919" width="14.7109375" style="1060" customWidth="1"/>
    <col min="6920" max="6920" width="18.28515625" style="1060" customWidth="1"/>
    <col min="6921" max="6921" width="15.5703125" style="1060" customWidth="1"/>
    <col min="6922" max="6922" width="6.140625" style="1060" customWidth="1"/>
    <col min="6923" max="6923" width="14.7109375" style="1060" customWidth="1"/>
    <col min="6924" max="6924" width="16.140625" style="1060" customWidth="1"/>
    <col min="6925" max="6925" width="14.7109375" style="1060" customWidth="1"/>
    <col min="6926" max="6926" width="4.85546875" style="1060" customWidth="1"/>
    <col min="6927" max="6927" width="18.5703125" style="1060" customWidth="1"/>
    <col min="6928" max="7168" width="14.7109375" style="1060"/>
    <col min="7169" max="7169" width="33.140625" style="1060" customWidth="1"/>
    <col min="7170" max="7170" width="11" style="1060" customWidth="1"/>
    <col min="7171" max="7171" width="16.85546875" style="1060" customWidth="1"/>
    <col min="7172" max="7172" width="16.7109375" style="1060" customWidth="1"/>
    <col min="7173" max="7173" width="14.7109375" style="1060" customWidth="1"/>
    <col min="7174" max="7174" width="4.85546875" style="1060" customWidth="1"/>
    <col min="7175" max="7175" width="14.7109375" style="1060" customWidth="1"/>
    <col min="7176" max="7176" width="18.28515625" style="1060" customWidth="1"/>
    <col min="7177" max="7177" width="15.5703125" style="1060" customWidth="1"/>
    <col min="7178" max="7178" width="6.140625" style="1060" customWidth="1"/>
    <col min="7179" max="7179" width="14.7109375" style="1060" customWidth="1"/>
    <col min="7180" max="7180" width="16.140625" style="1060" customWidth="1"/>
    <col min="7181" max="7181" width="14.7109375" style="1060" customWidth="1"/>
    <col min="7182" max="7182" width="4.85546875" style="1060" customWidth="1"/>
    <col min="7183" max="7183" width="18.5703125" style="1060" customWidth="1"/>
    <col min="7184" max="7424" width="14.7109375" style="1060"/>
    <col min="7425" max="7425" width="33.140625" style="1060" customWidth="1"/>
    <col min="7426" max="7426" width="11" style="1060" customWidth="1"/>
    <col min="7427" max="7427" width="16.85546875" style="1060" customWidth="1"/>
    <col min="7428" max="7428" width="16.7109375" style="1060" customWidth="1"/>
    <col min="7429" max="7429" width="14.7109375" style="1060" customWidth="1"/>
    <col min="7430" max="7430" width="4.85546875" style="1060" customWidth="1"/>
    <col min="7431" max="7431" width="14.7109375" style="1060" customWidth="1"/>
    <col min="7432" max="7432" width="18.28515625" style="1060" customWidth="1"/>
    <col min="7433" max="7433" width="15.5703125" style="1060" customWidth="1"/>
    <col min="7434" max="7434" width="6.140625" style="1060" customWidth="1"/>
    <col min="7435" max="7435" width="14.7109375" style="1060" customWidth="1"/>
    <col min="7436" max="7436" width="16.140625" style="1060" customWidth="1"/>
    <col min="7437" max="7437" width="14.7109375" style="1060" customWidth="1"/>
    <col min="7438" max="7438" width="4.85546875" style="1060" customWidth="1"/>
    <col min="7439" max="7439" width="18.5703125" style="1060" customWidth="1"/>
    <col min="7440" max="7680" width="14.7109375" style="1060"/>
    <col min="7681" max="7681" width="33.140625" style="1060" customWidth="1"/>
    <col min="7682" max="7682" width="11" style="1060" customWidth="1"/>
    <col min="7683" max="7683" width="16.85546875" style="1060" customWidth="1"/>
    <col min="7684" max="7684" width="16.7109375" style="1060" customWidth="1"/>
    <col min="7685" max="7685" width="14.7109375" style="1060" customWidth="1"/>
    <col min="7686" max="7686" width="4.85546875" style="1060" customWidth="1"/>
    <col min="7687" max="7687" width="14.7109375" style="1060" customWidth="1"/>
    <col min="7688" max="7688" width="18.28515625" style="1060" customWidth="1"/>
    <col min="7689" max="7689" width="15.5703125" style="1060" customWidth="1"/>
    <col min="7690" max="7690" width="6.140625" style="1060" customWidth="1"/>
    <col min="7691" max="7691" width="14.7109375" style="1060" customWidth="1"/>
    <col min="7692" max="7692" width="16.140625" style="1060" customWidth="1"/>
    <col min="7693" max="7693" width="14.7109375" style="1060" customWidth="1"/>
    <col min="7694" max="7694" width="4.85546875" style="1060" customWidth="1"/>
    <col min="7695" max="7695" width="18.5703125" style="1060" customWidth="1"/>
    <col min="7696" max="7936" width="14.7109375" style="1060"/>
    <col min="7937" max="7937" width="33.140625" style="1060" customWidth="1"/>
    <col min="7938" max="7938" width="11" style="1060" customWidth="1"/>
    <col min="7939" max="7939" width="16.85546875" style="1060" customWidth="1"/>
    <col min="7940" max="7940" width="16.7109375" style="1060" customWidth="1"/>
    <col min="7941" max="7941" width="14.7109375" style="1060" customWidth="1"/>
    <col min="7942" max="7942" width="4.85546875" style="1060" customWidth="1"/>
    <col min="7943" max="7943" width="14.7109375" style="1060" customWidth="1"/>
    <col min="7944" max="7944" width="18.28515625" style="1060" customWidth="1"/>
    <col min="7945" max="7945" width="15.5703125" style="1060" customWidth="1"/>
    <col min="7946" max="7946" width="6.140625" style="1060" customWidth="1"/>
    <col min="7947" max="7947" width="14.7109375" style="1060" customWidth="1"/>
    <col min="7948" max="7948" width="16.140625" style="1060" customWidth="1"/>
    <col min="7949" max="7949" width="14.7109375" style="1060" customWidth="1"/>
    <col min="7950" max="7950" width="4.85546875" style="1060" customWidth="1"/>
    <col min="7951" max="7951" width="18.5703125" style="1060" customWidth="1"/>
    <col min="7952" max="8192" width="14.7109375" style="1060"/>
    <col min="8193" max="8193" width="33.140625" style="1060" customWidth="1"/>
    <col min="8194" max="8194" width="11" style="1060" customWidth="1"/>
    <col min="8195" max="8195" width="16.85546875" style="1060" customWidth="1"/>
    <col min="8196" max="8196" width="16.7109375" style="1060" customWidth="1"/>
    <col min="8197" max="8197" width="14.7109375" style="1060" customWidth="1"/>
    <col min="8198" max="8198" width="4.85546875" style="1060" customWidth="1"/>
    <col min="8199" max="8199" width="14.7109375" style="1060" customWidth="1"/>
    <col min="8200" max="8200" width="18.28515625" style="1060" customWidth="1"/>
    <col min="8201" max="8201" width="15.5703125" style="1060" customWidth="1"/>
    <col min="8202" max="8202" width="6.140625" style="1060" customWidth="1"/>
    <col min="8203" max="8203" width="14.7109375" style="1060" customWidth="1"/>
    <col min="8204" max="8204" width="16.140625" style="1060" customWidth="1"/>
    <col min="8205" max="8205" width="14.7109375" style="1060" customWidth="1"/>
    <col min="8206" max="8206" width="4.85546875" style="1060" customWidth="1"/>
    <col min="8207" max="8207" width="18.5703125" style="1060" customWidth="1"/>
    <col min="8208" max="8448" width="14.7109375" style="1060"/>
    <col min="8449" max="8449" width="33.140625" style="1060" customWidth="1"/>
    <col min="8450" max="8450" width="11" style="1060" customWidth="1"/>
    <col min="8451" max="8451" width="16.85546875" style="1060" customWidth="1"/>
    <col min="8452" max="8452" width="16.7109375" style="1060" customWidth="1"/>
    <col min="8453" max="8453" width="14.7109375" style="1060" customWidth="1"/>
    <col min="8454" max="8454" width="4.85546875" style="1060" customWidth="1"/>
    <col min="8455" max="8455" width="14.7109375" style="1060" customWidth="1"/>
    <col min="8456" max="8456" width="18.28515625" style="1060" customWidth="1"/>
    <col min="8457" max="8457" width="15.5703125" style="1060" customWidth="1"/>
    <col min="8458" max="8458" width="6.140625" style="1060" customWidth="1"/>
    <col min="8459" max="8459" width="14.7109375" style="1060" customWidth="1"/>
    <col min="8460" max="8460" width="16.140625" style="1060" customWidth="1"/>
    <col min="8461" max="8461" width="14.7109375" style="1060" customWidth="1"/>
    <col min="8462" max="8462" width="4.85546875" style="1060" customWidth="1"/>
    <col min="8463" max="8463" width="18.5703125" style="1060" customWidth="1"/>
    <col min="8464" max="8704" width="14.7109375" style="1060"/>
    <col min="8705" max="8705" width="33.140625" style="1060" customWidth="1"/>
    <col min="8706" max="8706" width="11" style="1060" customWidth="1"/>
    <col min="8707" max="8707" width="16.85546875" style="1060" customWidth="1"/>
    <col min="8708" max="8708" width="16.7109375" style="1060" customWidth="1"/>
    <col min="8709" max="8709" width="14.7109375" style="1060" customWidth="1"/>
    <col min="8710" max="8710" width="4.85546875" style="1060" customWidth="1"/>
    <col min="8711" max="8711" width="14.7109375" style="1060" customWidth="1"/>
    <col min="8712" max="8712" width="18.28515625" style="1060" customWidth="1"/>
    <col min="8713" max="8713" width="15.5703125" style="1060" customWidth="1"/>
    <col min="8714" max="8714" width="6.140625" style="1060" customWidth="1"/>
    <col min="8715" max="8715" width="14.7109375" style="1060" customWidth="1"/>
    <col min="8716" max="8716" width="16.140625" style="1060" customWidth="1"/>
    <col min="8717" max="8717" width="14.7109375" style="1060" customWidth="1"/>
    <col min="8718" max="8718" width="4.85546875" style="1060" customWidth="1"/>
    <col min="8719" max="8719" width="18.5703125" style="1060" customWidth="1"/>
    <col min="8720" max="8960" width="14.7109375" style="1060"/>
    <col min="8961" max="8961" width="33.140625" style="1060" customWidth="1"/>
    <col min="8962" max="8962" width="11" style="1060" customWidth="1"/>
    <col min="8963" max="8963" width="16.85546875" style="1060" customWidth="1"/>
    <col min="8964" max="8964" width="16.7109375" style="1060" customWidth="1"/>
    <col min="8965" max="8965" width="14.7109375" style="1060" customWidth="1"/>
    <col min="8966" max="8966" width="4.85546875" style="1060" customWidth="1"/>
    <col min="8967" max="8967" width="14.7109375" style="1060" customWidth="1"/>
    <col min="8968" max="8968" width="18.28515625" style="1060" customWidth="1"/>
    <col min="8969" max="8969" width="15.5703125" style="1060" customWidth="1"/>
    <col min="8970" max="8970" width="6.140625" style="1060" customWidth="1"/>
    <col min="8971" max="8971" width="14.7109375" style="1060" customWidth="1"/>
    <col min="8972" max="8972" width="16.140625" style="1060" customWidth="1"/>
    <col min="8973" max="8973" width="14.7109375" style="1060" customWidth="1"/>
    <col min="8974" max="8974" width="4.85546875" style="1060" customWidth="1"/>
    <col min="8975" max="8975" width="18.5703125" style="1060" customWidth="1"/>
    <col min="8976" max="9216" width="14.7109375" style="1060"/>
    <col min="9217" max="9217" width="33.140625" style="1060" customWidth="1"/>
    <col min="9218" max="9218" width="11" style="1060" customWidth="1"/>
    <col min="9219" max="9219" width="16.85546875" style="1060" customWidth="1"/>
    <col min="9220" max="9220" width="16.7109375" style="1060" customWidth="1"/>
    <col min="9221" max="9221" width="14.7109375" style="1060" customWidth="1"/>
    <col min="9222" max="9222" width="4.85546875" style="1060" customWidth="1"/>
    <col min="9223" max="9223" width="14.7109375" style="1060" customWidth="1"/>
    <col min="9224" max="9224" width="18.28515625" style="1060" customWidth="1"/>
    <col min="9225" max="9225" width="15.5703125" style="1060" customWidth="1"/>
    <col min="9226" max="9226" width="6.140625" style="1060" customWidth="1"/>
    <col min="9227" max="9227" width="14.7109375" style="1060" customWidth="1"/>
    <col min="9228" max="9228" width="16.140625" style="1060" customWidth="1"/>
    <col min="9229" max="9229" width="14.7109375" style="1060" customWidth="1"/>
    <col min="9230" max="9230" width="4.85546875" style="1060" customWidth="1"/>
    <col min="9231" max="9231" width="18.5703125" style="1060" customWidth="1"/>
    <col min="9232" max="9472" width="14.7109375" style="1060"/>
    <col min="9473" max="9473" width="33.140625" style="1060" customWidth="1"/>
    <col min="9474" max="9474" width="11" style="1060" customWidth="1"/>
    <col min="9475" max="9475" width="16.85546875" style="1060" customWidth="1"/>
    <col min="9476" max="9476" width="16.7109375" style="1060" customWidth="1"/>
    <col min="9477" max="9477" width="14.7109375" style="1060" customWidth="1"/>
    <col min="9478" max="9478" width="4.85546875" style="1060" customWidth="1"/>
    <col min="9479" max="9479" width="14.7109375" style="1060" customWidth="1"/>
    <col min="9480" max="9480" width="18.28515625" style="1060" customWidth="1"/>
    <col min="9481" max="9481" width="15.5703125" style="1060" customWidth="1"/>
    <col min="9482" max="9482" width="6.140625" style="1060" customWidth="1"/>
    <col min="9483" max="9483" width="14.7109375" style="1060" customWidth="1"/>
    <col min="9484" max="9484" width="16.140625" style="1060" customWidth="1"/>
    <col min="9485" max="9485" width="14.7109375" style="1060" customWidth="1"/>
    <col min="9486" max="9486" width="4.85546875" style="1060" customWidth="1"/>
    <col min="9487" max="9487" width="18.5703125" style="1060" customWidth="1"/>
    <col min="9488" max="9728" width="14.7109375" style="1060"/>
    <col min="9729" max="9729" width="33.140625" style="1060" customWidth="1"/>
    <col min="9730" max="9730" width="11" style="1060" customWidth="1"/>
    <col min="9731" max="9731" width="16.85546875" style="1060" customWidth="1"/>
    <col min="9732" max="9732" width="16.7109375" style="1060" customWidth="1"/>
    <col min="9733" max="9733" width="14.7109375" style="1060" customWidth="1"/>
    <col min="9734" max="9734" width="4.85546875" style="1060" customWidth="1"/>
    <col min="9735" max="9735" width="14.7109375" style="1060" customWidth="1"/>
    <col min="9736" max="9736" width="18.28515625" style="1060" customWidth="1"/>
    <col min="9737" max="9737" width="15.5703125" style="1060" customWidth="1"/>
    <col min="9738" max="9738" width="6.140625" style="1060" customWidth="1"/>
    <col min="9739" max="9739" width="14.7109375" style="1060" customWidth="1"/>
    <col min="9740" max="9740" width="16.140625" style="1060" customWidth="1"/>
    <col min="9741" max="9741" width="14.7109375" style="1060" customWidth="1"/>
    <col min="9742" max="9742" width="4.85546875" style="1060" customWidth="1"/>
    <col min="9743" max="9743" width="18.5703125" style="1060" customWidth="1"/>
    <col min="9744" max="9984" width="14.7109375" style="1060"/>
    <col min="9985" max="9985" width="33.140625" style="1060" customWidth="1"/>
    <col min="9986" max="9986" width="11" style="1060" customWidth="1"/>
    <col min="9987" max="9987" width="16.85546875" style="1060" customWidth="1"/>
    <col min="9988" max="9988" width="16.7109375" style="1060" customWidth="1"/>
    <col min="9989" max="9989" width="14.7109375" style="1060" customWidth="1"/>
    <col min="9990" max="9990" width="4.85546875" style="1060" customWidth="1"/>
    <col min="9991" max="9991" width="14.7109375" style="1060" customWidth="1"/>
    <col min="9992" max="9992" width="18.28515625" style="1060" customWidth="1"/>
    <col min="9993" max="9993" width="15.5703125" style="1060" customWidth="1"/>
    <col min="9994" max="9994" width="6.140625" style="1060" customWidth="1"/>
    <col min="9995" max="9995" width="14.7109375" style="1060" customWidth="1"/>
    <col min="9996" max="9996" width="16.140625" style="1060" customWidth="1"/>
    <col min="9997" max="9997" width="14.7109375" style="1060" customWidth="1"/>
    <col min="9998" max="9998" width="4.85546875" style="1060" customWidth="1"/>
    <col min="9999" max="9999" width="18.5703125" style="1060" customWidth="1"/>
    <col min="10000" max="10240" width="14.7109375" style="1060"/>
    <col min="10241" max="10241" width="33.140625" style="1060" customWidth="1"/>
    <col min="10242" max="10242" width="11" style="1060" customWidth="1"/>
    <col min="10243" max="10243" width="16.85546875" style="1060" customWidth="1"/>
    <col min="10244" max="10244" width="16.7109375" style="1060" customWidth="1"/>
    <col min="10245" max="10245" width="14.7109375" style="1060" customWidth="1"/>
    <col min="10246" max="10246" width="4.85546875" style="1060" customWidth="1"/>
    <col min="10247" max="10247" width="14.7109375" style="1060" customWidth="1"/>
    <col min="10248" max="10248" width="18.28515625" style="1060" customWidth="1"/>
    <col min="10249" max="10249" width="15.5703125" style="1060" customWidth="1"/>
    <col min="10250" max="10250" width="6.140625" style="1060" customWidth="1"/>
    <col min="10251" max="10251" width="14.7109375" style="1060" customWidth="1"/>
    <col min="10252" max="10252" width="16.140625" style="1060" customWidth="1"/>
    <col min="10253" max="10253" width="14.7109375" style="1060" customWidth="1"/>
    <col min="10254" max="10254" width="4.85546875" style="1060" customWidth="1"/>
    <col min="10255" max="10255" width="18.5703125" style="1060" customWidth="1"/>
    <col min="10256" max="10496" width="14.7109375" style="1060"/>
    <col min="10497" max="10497" width="33.140625" style="1060" customWidth="1"/>
    <col min="10498" max="10498" width="11" style="1060" customWidth="1"/>
    <col min="10499" max="10499" width="16.85546875" style="1060" customWidth="1"/>
    <col min="10500" max="10500" width="16.7109375" style="1060" customWidth="1"/>
    <col min="10501" max="10501" width="14.7109375" style="1060" customWidth="1"/>
    <col min="10502" max="10502" width="4.85546875" style="1060" customWidth="1"/>
    <col min="10503" max="10503" width="14.7109375" style="1060" customWidth="1"/>
    <col min="10504" max="10504" width="18.28515625" style="1060" customWidth="1"/>
    <col min="10505" max="10505" width="15.5703125" style="1060" customWidth="1"/>
    <col min="10506" max="10506" width="6.140625" style="1060" customWidth="1"/>
    <col min="10507" max="10507" width="14.7109375" style="1060" customWidth="1"/>
    <col min="10508" max="10508" width="16.140625" style="1060" customWidth="1"/>
    <col min="10509" max="10509" width="14.7109375" style="1060" customWidth="1"/>
    <col min="10510" max="10510" width="4.85546875" style="1060" customWidth="1"/>
    <col min="10511" max="10511" width="18.5703125" style="1060" customWidth="1"/>
    <col min="10512" max="10752" width="14.7109375" style="1060"/>
    <col min="10753" max="10753" width="33.140625" style="1060" customWidth="1"/>
    <col min="10754" max="10754" width="11" style="1060" customWidth="1"/>
    <col min="10755" max="10755" width="16.85546875" style="1060" customWidth="1"/>
    <col min="10756" max="10756" width="16.7109375" style="1060" customWidth="1"/>
    <col min="10757" max="10757" width="14.7109375" style="1060" customWidth="1"/>
    <col min="10758" max="10758" width="4.85546875" style="1060" customWidth="1"/>
    <col min="10759" max="10759" width="14.7109375" style="1060" customWidth="1"/>
    <col min="10760" max="10760" width="18.28515625" style="1060" customWidth="1"/>
    <col min="10761" max="10761" width="15.5703125" style="1060" customWidth="1"/>
    <col min="10762" max="10762" width="6.140625" style="1060" customWidth="1"/>
    <col min="10763" max="10763" width="14.7109375" style="1060" customWidth="1"/>
    <col min="10764" max="10764" width="16.140625" style="1060" customWidth="1"/>
    <col min="10765" max="10765" width="14.7109375" style="1060" customWidth="1"/>
    <col min="10766" max="10766" width="4.85546875" style="1060" customWidth="1"/>
    <col min="10767" max="10767" width="18.5703125" style="1060" customWidth="1"/>
    <col min="10768" max="11008" width="14.7109375" style="1060"/>
    <col min="11009" max="11009" width="33.140625" style="1060" customWidth="1"/>
    <col min="11010" max="11010" width="11" style="1060" customWidth="1"/>
    <col min="11011" max="11011" width="16.85546875" style="1060" customWidth="1"/>
    <col min="11012" max="11012" width="16.7109375" style="1060" customWidth="1"/>
    <col min="11013" max="11013" width="14.7109375" style="1060" customWidth="1"/>
    <col min="11014" max="11014" width="4.85546875" style="1060" customWidth="1"/>
    <col min="11015" max="11015" width="14.7109375" style="1060" customWidth="1"/>
    <col min="11016" max="11016" width="18.28515625" style="1060" customWidth="1"/>
    <col min="11017" max="11017" width="15.5703125" style="1060" customWidth="1"/>
    <col min="11018" max="11018" width="6.140625" style="1060" customWidth="1"/>
    <col min="11019" max="11019" width="14.7109375" style="1060" customWidth="1"/>
    <col min="11020" max="11020" width="16.140625" style="1060" customWidth="1"/>
    <col min="11021" max="11021" width="14.7109375" style="1060" customWidth="1"/>
    <col min="11022" max="11022" width="4.85546875" style="1060" customWidth="1"/>
    <col min="11023" max="11023" width="18.5703125" style="1060" customWidth="1"/>
    <col min="11024" max="11264" width="14.7109375" style="1060"/>
    <col min="11265" max="11265" width="33.140625" style="1060" customWidth="1"/>
    <col min="11266" max="11266" width="11" style="1060" customWidth="1"/>
    <col min="11267" max="11267" width="16.85546875" style="1060" customWidth="1"/>
    <col min="11268" max="11268" width="16.7109375" style="1060" customWidth="1"/>
    <col min="11269" max="11269" width="14.7109375" style="1060" customWidth="1"/>
    <col min="11270" max="11270" width="4.85546875" style="1060" customWidth="1"/>
    <col min="11271" max="11271" width="14.7109375" style="1060" customWidth="1"/>
    <col min="11272" max="11272" width="18.28515625" style="1060" customWidth="1"/>
    <col min="11273" max="11273" width="15.5703125" style="1060" customWidth="1"/>
    <col min="11274" max="11274" width="6.140625" style="1060" customWidth="1"/>
    <col min="11275" max="11275" width="14.7109375" style="1060" customWidth="1"/>
    <col min="11276" max="11276" width="16.140625" style="1060" customWidth="1"/>
    <col min="11277" max="11277" width="14.7109375" style="1060" customWidth="1"/>
    <col min="11278" max="11278" width="4.85546875" style="1060" customWidth="1"/>
    <col min="11279" max="11279" width="18.5703125" style="1060" customWidth="1"/>
    <col min="11280" max="11520" width="14.7109375" style="1060"/>
    <col min="11521" max="11521" width="33.140625" style="1060" customWidth="1"/>
    <col min="11522" max="11522" width="11" style="1060" customWidth="1"/>
    <col min="11523" max="11523" width="16.85546875" style="1060" customWidth="1"/>
    <col min="11524" max="11524" width="16.7109375" style="1060" customWidth="1"/>
    <col min="11525" max="11525" width="14.7109375" style="1060" customWidth="1"/>
    <col min="11526" max="11526" width="4.85546875" style="1060" customWidth="1"/>
    <col min="11527" max="11527" width="14.7109375" style="1060" customWidth="1"/>
    <col min="11528" max="11528" width="18.28515625" style="1060" customWidth="1"/>
    <col min="11529" max="11529" width="15.5703125" style="1060" customWidth="1"/>
    <col min="11530" max="11530" width="6.140625" style="1060" customWidth="1"/>
    <col min="11531" max="11531" width="14.7109375" style="1060" customWidth="1"/>
    <col min="11532" max="11532" width="16.140625" style="1060" customWidth="1"/>
    <col min="11533" max="11533" width="14.7109375" style="1060" customWidth="1"/>
    <col min="11534" max="11534" width="4.85546875" style="1060" customWidth="1"/>
    <col min="11535" max="11535" width="18.5703125" style="1060" customWidth="1"/>
    <col min="11536" max="11776" width="14.7109375" style="1060"/>
    <col min="11777" max="11777" width="33.140625" style="1060" customWidth="1"/>
    <col min="11778" max="11778" width="11" style="1060" customWidth="1"/>
    <col min="11779" max="11779" width="16.85546875" style="1060" customWidth="1"/>
    <col min="11780" max="11780" width="16.7109375" style="1060" customWidth="1"/>
    <col min="11781" max="11781" width="14.7109375" style="1060" customWidth="1"/>
    <col min="11782" max="11782" width="4.85546875" style="1060" customWidth="1"/>
    <col min="11783" max="11783" width="14.7109375" style="1060" customWidth="1"/>
    <col min="11784" max="11784" width="18.28515625" style="1060" customWidth="1"/>
    <col min="11785" max="11785" width="15.5703125" style="1060" customWidth="1"/>
    <col min="11786" max="11786" width="6.140625" style="1060" customWidth="1"/>
    <col min="11787" max="11787" width="14.7109375" style="1060" customWidth="1"/>
    <col min="11788" max="11788" width="16.140625" style="1060" customWidth="1"/>
    <col min="11789" max="11789" width="14.7109375" style="1060" customWidth="1"/>
    <col min="11790" max="11790" width="4.85546875" style="1060" customWidth="1"/>
    <col min="11791" max="11791" width="18.5703125" style="1060" customWidth="1"/>
    <col min="11792" max="12032" width="14.7109375" style="1060"/>
    <col min="12033" max="12033" width="33.140625" style="1060" customWidth="1"/>
    <col min="12034" max="12034" width="11" style="1060" customWidth="1"/>
    <col min="12035" max="12035" width="16.85546875" style="1060" customWidth="1"/>
    <col min="12036" max="12036" width="16.7109375" style="1060" customWidth="1"/>
    <col min="12037" max="12037" width="14.7109375" style="1060" customWidth="1"/>
    <col min="12038" max="12038" width="4.85546875" style="1060" customWidth="1"/>
    <col min="12039" max="12039" width="14.7109375" style="1060" customWidth="1"/>
    <col min="12040" max="12040" width="18.28515625" style="1060" customWidth="1"/>
    <col min="12041" max="12041" width="15.5703125" style="1060" customWidth="1"/>
    <col min="12042" max="12042" width="6.140625" style="1060" customWidth="1"/>
    <col min="12043" max="12043" width="14.7109375" style="1060" customWidth="1"/>
    <col min="12044" max="12044" width="16.140625" style="1060" customWidth="1"/>
    <col min="12045" max="12045" width="14.7109375" style="1060" customWidth="1"/>
    <col min="12046" max="12046" width="4.85546875" style="1060" customWidth="1"/>
    <col min="12047" max="12047" width="18.5703125" style="1060" customWidth="1"/>
    <col min="12048" max="12288" width="14.7109375" style="1060"/>
    <col min="12289" max="12289" width="33.140625" style="1060" customWidth="1"/>
    <col min="12290" max="12290" width="11" style="1060" customWidth="1"/>
    <col min="12291" max="12291" width="16.85546875" style="1060" customWidth="1"/>
    <col min="12292" max="12292" width="16.7109375" style="1060" customWidth="1"/>
    <col min="12293" max="12293" width="14.7109375" style="1060" customWidth="1"/>
    <col min="12294" max="12294" width="4.85546875" style="1060" customWidth="1"/>
    <col min="12295" max="12295" width="14.7109375" style="1060" customWidth="1"/>
    <col min="12296" max="12296" width="18.28515625" style="1060" customWidth="1"/>
    <col min="12297" max="12297" width="15.5703125" style="1060" customWidth="1"/>
    <col min="12298" max="12298" width="6.140625" style="1060" customWidth="1"/>
    <col min="12299" max="12299" width="14.7109375" style="1060" customWidth="1"/>
    <col min="12300" max="12300" width="16.140625" style="1060" customWidth="1"/>
    <col min="12301" max="12301" width="14.7109375" style="1060" customWidth="1"/>
    <col min="12302" max="12302" width="4.85546875" style="1060" customWidth="1"/>
    <col min="12303" max="12303" width="18.5703125" style="1060" customWidth="1"/>
    <col min="12304" max="12544" width="14.7109375" style="1060"/>
    <col min="12545" max="12545" width="33.140625" style="1060" customWidth="1"/>
    <col min="12546" max="12546" width="11" style="1060" customWidth="1"/>
    <col min="12547" max="12547" width="16.85546875" style="1060" customWidth="1"/>
    <col min="12548" max="12548" width="16.7109375" style="1060" customWidth="1"/>
    <col min="12549" max="12549" width="14.7109375" style="1060" customWidth="1"/>
    <col min="12550" max="12550" width="4.85546875" style="1060" customWidth="1"/>
    <col min="12551" max="12551" width="14.7109375" style="1060" customWidth="1"/>
    <col min="12552" max="12552" width="18.28515625" style="1060" customWidth="1"/>
    <col min="12553" max="12553" width="15.5703125" style="1060" customWidth="1"/>
    <col min="12554" max="12554" width="6.140625" style="1060" customWidth="1"/>
    <col min="12555" max="12555" width="14.7109375" style="1060" customWidth="1"/>
    <col min="12556" max="12556" width="16.140625" style="1060" customWidth="1"/>
    <col min="12557" max="12557" width="14.7109375" style="1060" customWidth="1"/>
    <col min="12558" max="12558" width="4.85546875" style="1060" customWidth="1"/>
    <col min="12559" max="12559" width="18.5703125" style="1060" customWidth="1"/>
    <col min="12560" max="12800" width="14.7109375" style="1060"/>
    <col min="12801" max="12801" width="33.140625" style="1060" customWidth="1"/>
    <col min="12802" max="12802" width="11" style="1060" customWidth="1"/>
    <col min="12803" max="12803" width="16.85546875" style="1060" customWidth="1"/>
    <col min="12804" max="12804" width="16.7109375" style="1060" customWidth="1"/>
    <col min="12805" max="12805" width="14.7109375" style="1060" customWidth="1"/>
    <col min="12806" max="12806" width="4.85546875" style="1060" customWidth="1"/>
    <col min="12807" max="12807" width="14.7109375" style="1060" customWidth="1"/>
    <col min="12808" max="12808" width="18.28515625" style="1060" customWidth="1"/>
    <col min="12809" max="12809" width="15.5703125" style="1060" customWidth="1"/>
    <col min="12810" max="12810" width="6.140625" style="1060" customWidth="1"/>
    <col min="12811" max="12811" width="14.7109375" style="1060" customWidth="1"/>
    <col min="12812" max="12812" width="16.140625" style="1060" customWidth="1"/>
    <col min="12813" max="12813" width="14.7109375" style="1060" customWidth="1"/>
    <col min="12814" max="12814" width="4.85546875" style="1060" customWidth="1"/>
    <col min="12815" max="12815" width="18.5703125" style="1060" customWidth="1"/>
    <col min="12816" max="13056" width="14.7109375" style="1060"/>
    <col min="13057" max="13057" width="33.140625" style="1060" customWidth="1"/>
    <col min="13058" max="13058" width="11" style="1060" customWidth="1"/>
    <col min="13059" max="13059" width="16.85546875" style="1060" customWidth="1"/>
    <col min="13060" max="13060" width="16.7109375" style="1060" customWidth="1"/>
    <col min="13061" max="13061" width="14.7109375" style="1060" customWidth="1"/>
    <col min="13062" max="13062" width="4.85546875" style="1060" customWidth="1"/>
    <col min="13063" max="13063" width="14.7109375" style="1060" customWidth="1"/>
    <col min="13064" max="13064" width="18.28515625" style="1060" customWidth="1"/>
    <col min="13065" max="13065" width="15.5703125" style="1060" customWidth="1"/>
    <col min="13066" max="13066" width="6.140625" style="1060" customWidth="1"/>
    <col min="13067" max="13067" width="14.7109375" style="1060" customWidth="1"/>
    <col min="13068" max="13068" width="16.140625" style="1060" customWidth="1"/>
    <col min="13069" max="13069" width="14.7109375" style="1060" customWidth="1"/>
    <col min="13070" max="13070" width="4.85546875" style="1060" customWidth="1"/>
    <col min="13071" max="13071" width="18.5703125" style="1060" customWidth="1"/>
    <col min="13072" max="13312" width="14.7109375" style="1060"/>
    <col min="13313" max="13313" width="33.140625" style="1060" customWidth="1"/>
    <col min="13314" max="13314" width="11" style="1060" customWidth="1"/>
    <col min="13315" max="13315" width="16.85546875" style="1060" customWidth="1"/>
    <col min="13316" max="13316" width="16.7109375" style="1060" customWidth="1"/>
    <col min="13317" max="13317" width="14.7109375" style="1060" customWidth="1"/>
    <col min="13318" max="13318" width="4.85546875" style="1060" customWidth="1"/>
    <col min="13319" max="13319" width="14.7109375" style="1060" customWidth="1"/>
    <col min="13320" max="13320" width="18.28515625" style="1060" customWidth="1"/>
    <col min="13321" max="13321" width="15.5703125" style="1060" customWidth="1"/>
    <col min="13322" max="13322" width="6.140625" style="1060" customWidth="1"/>
    <col min="13323" max="13323" width="14.7109375" style="1060" customWidth="1"/>
    <col min="13324" max="13324" width="16.140625" style="1060" customWidth="1"/>
    <col min="13325" max="13325" width="14.7109375" style="1060" customWidth="1"/>
    <col min="13326" max="13326" width="4.85546875" style="1060" customWidth="1"/>
    <col min="13327" max="13327" width="18.5703125" style="1060" customWidth="1"/>
    <col min="13328" max="13568" width="14.7109375" style="1060"/>
    <col min="13569" max="13569" width="33.140625" style="1060" customWidth="1"/>
    <col min="13570" max="13570" width="11" style="1060" customWidth="1"/>
    <col min="13571" max="13571" width="16.85546875" style="1060" customWidth="1"/>
    <col min="13572" max="13572" width="16.7109375" style="1060" customWidth="1"/>
    <col min="13573" max="13573" width="14.7109375" style="1060" customWidth="1"/>
    <col min="13574" max="13574" width="4.85546875" style="1060" customWidth="1"/>
    <col min="13575" max="13575" width="14.7109375" style="1060" customWidth="1"/>
    <col min="13576" max="13576" width="18.28515625" style="1060" customWidth="1"/>
    <col min="13577" max="13577" width="15.5703125" style="1060" customWidth="1"/>
    <col min="13578" max="13578" width="6.140625" style="1060" customWidth="1"/>
    <col min="13579" max="13579" width="14.7109375" style="1060" customWidth="1"/>
    <col min="13580" max="13580" width="16.140625" style="1060" customWidth="1"/>
    <col min="13581" max="13581" width="14.7109375" style="1060" customWidth="1"/>
    <col min="13582" max="13582" width="4.85546875" style="1060" customWidth="1"/>
    <col min="13583" max="13583" width="18.5703125" style="1060" customWidth="1"/>
    <col min="13584" max="13824" width="14.7109375" style="1060"/>
    <col min="13825" max="13825" width="33.140625" style="1060" customWidth="1"/>
    <col min="13826" max="13826" width="11" style="1060" customWidth="1"/>
    <col min="13827" max="13827" width="16.85546875" style="1060" customWidth="1"/>
    <col min="13828" max="13828" width="16.7109375" style="1060" customWidth="1"/>
    <col min="13829" max="13829" width="14.7109375" style="1060" customWidth="1"/>
    <col min="13830" max="13830" width="4.85546875" style="1060" customWidth="1"/>
    <col min="13831" max="13831" width="14.7109375" style="1060" customWidth="1"/>
    <col min="13832" max="13832" width="18.28515625" style="1060" customWidth="1"/>
    <col min="13833" max="13833" width="15.5703125" style="1060" customWidth="1"/>
    <col min="13834" max="13834" width="6.140625" style="1060" customWidth="1"/>
    <col min="13835" max="13835" width="14.7109375" style="1060" customWidth="1"/>
    <col min="13836" max="13836" width="16.140625" style="1060" customWidth="1"/>
    <col min="13837" max="13837" width="14.7109375" style="1060" customWidth="1"/>
    <col min="13838" max="13838" width="4.85546875" style="1060" customWidth="1"/>
    <col min="13839" max="13839" width="18.5703125" style="1060" customWidth="1"/>
    <col min="13840" max="14080" width="14.7109375" style="1060"/>
    <col min="14081" max="14081" width="33.140625" style="1060" customWidth="1"/>
    <col min="14082" max="14082" width="11" style="1060" customWidth="1"/>
    <col min="14083" max="14083" width="16.85546875" style="1060" customWidth="1"/>
    <col min="14084" max="14084" width="16.7109375" style="1060" customWidth="1"/>
    <col min="14085" max="14085" width="14.7109375" style="1060" customWidth="1"/>
    <col min="14086" max="14086" width="4.85546875" style="1060" customWidth="1"/>
    <col min="14087" max="14087" width="14.7109375" style="1060" customWidth="1"/>
    <col min="14088" max="14088" width="18.28515625" style="1060" customWidth="1"/>
    <col min="14089" max="14089" width="15.5703125" style="1060" customWidth="1"/>
    <col min="14090" max="14090" width="6.140625" style="1060" customWidth="1"/>
    <col min="14091" max="14091" width="14.7109375" style="1060" customWidth="1"/>
    <col min="14092" max="14092" width="16.140625" style="1060" customWidth="1"/>
    <col min="14093" max="14093" width="14.7109375" style="1060" customWidth="1"/>
    <col min="14094" max="14094" width="4.85546875" style="1060" customWidth="1"/>
    <col min="14095" max="14095" width="18.5703125" style="1060" customWidth="1"/>
    <col min="14096" max="14336" width="14.7109375" style="1060"/>
    <col min="14337" max="14337" width="33.140625" style="1060" customWidth="1"/>
    <col min="14338" max="14338" width="11" style="1060" customWidth="1"/>
    <col min="14339" max="14339" width="16.85546875" style="1060" customWidth="1"/>
    <col min="14340" max="14340" width="16.7109375" style="1060" customWidth="1"/>
    <col min="14341" max="14341" width="14.7109375" style="1060" customWidth="1"/>
    <col min="14342" max="14342" width="4.85546875" style="1060" customWidth="1"/>
    <col min="14343" max="14343" width="14.7109375" style="1060" customWidth="1"/>
    <col min="14344" max="14344" width="18.28515625" style="1060" customWidth="1"/>
    <col min="14345" max="14345" width="15.5703125" style="1060" customWidth="1"/>
    <col min="14346" max="14346" width="6.140625" style="1060" customWidth="1"/>
    <col min="14347" max="14347" width="14.7109375" style="1060" customWidth="1"/>
    <col min="14348" max="14348" width="16.140625" style="1060" customWidth="1"/>
    <col min="14349" max="14349" width="14.7109375" style="1060" customWidth="1"/>
    <col min="14350" max="14350" width="4.85546875" style="1060" customWidth="1"/>
    <col min="14351" max="14351" width="18.5703125" style="1060" customWidth="1"/>
    <col min="14352" max="14592" width="14.7109375" style="1060"/>
    <col min="14593" max="14593" width="33.140625" style="1060" customWidth="1"/>
    <col min="14594" max="14594" width="11" style="1060" customWidth="1"/>
    <col min="14595" max="14595" width="16.85546875" style="1060" customWidth="1"/>
    <col min="14596" max="14596" width="16.7109375" style="1060" customWidth="1"/>
    <col min="14597" max="14597" width="14.7109375" style="1060" customWidth="1"/>
    <col min="14598" max="14598" width="4.85546875" style="1060" customWidth="1"/>
    <col min="14599" max="14599" width="14.7109375" style="1060" customWidth="1"/>
    <col min="14600" max="14600" width="18.28515625" style="1060" customWidth="1"/>
    <col min="14601" max="14601" width="15.5703125" style="1060" customWidth="1"/>
    <col min="14602" max="14602" width="6.140625" style="1060" customWidth="1"/>
    <col min="14603" max="14603" width="14.7109375" style="1060" customWidth="1"/>
    <col min="14604" max="14604" width="16.140625" style="1060" customWidth="1"/>
    <col min="14605" max="14605" width="14.7109375" style="1060" customWidth="1"/>
    <col min="14606" max="14606" width="4.85546875" style="1060" customWidth="1"/>
    <col min="14607" max="14607" width="18.5703125" style="1060" customWidth="1"/>
    <col min="14608" max="14848" width="14.7109375" style="1060"/>
    <col min="14849" max="14849" width="33.140625" style="1060" customWidth="1"/>
    <col min="14850" max="14850" width="11" style="1060" customWidth="1"/>
    <col min="14851" max="14851" width="16.85546875" style="1060" customWidth="1"/>
    <col min="14852" max="14852" width="16.7109375" style="1060" customWidth="1"/>
    <col min="14853" max="14853" width="14.7109375" style="1060" customWidth="1"/>
    <col min="14854" max="14854" width="4.85546875" style="1060" customWidth="1"/>
    <col min="14855" max="14855" width="14.7109375" style="1060" customWidth="1"/>
    <col min="14856" max="14856" width="18.28515625" style="1060" customWidth="1"/>
    <col min="14857" max="14857" width="15.5703125" style="1060" customWidth="1"/>
    <col min="14858" max="14858" width="6.140625" style="1060" customWidth="1"/>
    <col min="14859" max="14859" width="14.7109375" style="1060" customWidth="1"/>
    <col min="14860" max="14860" width="16.140625" style="1060" customWidth="1"/>
    <col min="14861" max="14861" width="14.7109375" style="1060" customWidth="1"/>
    <col min="14862" max="14862" width="4.85546875" style="1060" customWidth="1"/>
    <col min="14863" max="14863" width="18.5703125" style="1060" customWidth="1"/>
    <col min="14864" max="15104" width="14.7109375" style="1060"/>
    <col min="15105" max="15105" width="33.140625" style="1060" customWidth="1"/>
    <col min="15106" max="15106" width="11" style="1060" customWidth="1"/>
    <col min="15107" max="15107" width="16.85546875" style="1060" customWidth="1"/>
    <col min="15108" max="15108" width="16.7109375" style="1060" customWidth="1"/>
    <col min="15109" max="15109" width="14.7109375" style="1060" customWidth="1"/>
    <col min="15110" max="15110" width="4.85546875" style="1060" customWidth="1"/>
    <col min="15111" max="15111" width="14.7109375" style="1060" customWidth="1"/>
    <col min="15112" max="15112" width="18.28515625" style="1060" customWidth="1"/>
    <col min="15113" max="15113" width="15.5703125" style="1060" customWidth="1"/>
    <col min="15114" max="15114" width="6.140625" style="1060" customWidth="1"/>
    <col min="15115" max="15115" width="14.7109375" style="1060" customWidth="1"/>
    <col min="15116" max="15116" width="16.140625" style="1060" customWidth="1"/>
    <col min="15117" max="15117" width="14.7109375" style="1060" customWidth="1"/>
    <col min="15118" max="15118" width="4.85546875" style="1060" customWidth="1"/>
    <col min="15119" max="15119" width="18.5703125" style="1060" customWidth="1"/>
    <col min="15120" max="15360" width="14.7109375" style="1060"/>
    <col min="15361" max="15361" width="33.140625" style="1060" customWidth="1"/>
    <col min="15362" max="15362" width="11" style="1060" customWidth="1"/>
    <col min="15363" max="15363" width="16.85546875" style="1060" customWidth="1"/>
    <col min="15364" max="15364" width="16.7109375" style="1060" customWidth="1"/>
    <col min="15365" max="15365" width="14.7109375" style="1060" customWidth="1"/>
    <col min="15366" max="15366" width="4.85546875" style="1060" customWidth="1"/>
    <col min="15367" max="15367" width="14.7109375" style="1060" customWidth="1"/>
    <col min="15368" max="15368" width="18.28515625" style="1060" customWidth="1"/>
    <col min="15369" max="15369" width="15.5703125" style="1060" customWidth="1"/>
    <col min="15370" max="15370" width="6.140625" style="1060" customWidth="1"/>
    <col min="15371" max="15371" width="14.7109375" style="1060" customWidth="1"/>
    <col min="15372" max="15372" width="16.140625" style="1060" customWidth="1"/>
    <col min="15373" max="15373" width="14.7109375" style="1060" customWidth="1"/>
    <col min="15374" max="15374" width="4.85546875" style="1060" customWidth="1"/>
    <col min="15375" max="15375" width="18.5703125" style="1060" customWidth="1"/>
    <col min="15376" max="15616" width="14.7109375" style="1060"/>
    <col min="15617" max="15617" width="33.140625" style="1060" customWidth="1"/>
    <col min="15618" max="15618" width="11" style="1060" customWidth="1"/>
    <col min="15619" max="15619" width="16.85546875" style="1060" customWidth="1"/>
    <col min="15620" max="15620" width="16.7109375" style="1060" customWidth="1"/>
    <col min="15621" max="15621" width="14.7109375" style="1060" customWidth="1"/>
    <col min="15622" max="15622" width="4.85546875" style="1060" customWidth="1"/>
    <col min="15623" max="15623" width="14.7109375" style="1060" customWidth="1"/>
    <col min="15624" max="15624" width="18.28515625" style="1060" customWidth="1"/>
    <col min="15625" max="15625" width="15.5703125" style="1060" customWidth="1"/>
    <col min="15626" max="15626" width="6.140625" style="1060" customWidth="1"/>
    <col min="15627" max="15627" width="14.7109375" style="1060" customWidth="1"/>
    <col min="15628" max="15628" width="16.140625" style="1060" customWidth="1"/>
    <col min="15629" max="15629" width="14.7109375" style="1060" customWidth="1"/>
    <col min="15630" max="15630" width="4.85546875" style="1060" customWidth="1"/>
    <col min="15631" max="15631" width="18.5703125" style="1060" customWidth="1"/>
    <col min="15632" max="15872" width="14.7109375" style="1060"/>
    <col min="15873" max="15873" width="33.140625" style="1060" customWidth="1"/>
    <col min="15874" max="15874" width="11" style="1060" customWidth="1"/>
    <col min="15875" max="15875" width="16.85546875" style="1060" customWidth="1"/>
    <col min="15876" max="15876" width="16.7109375" style="1060" customWidth="1"/>
    <col min="15877" max="15877" width="14.7109375" style="1060" customWidth="1"/>
    <col min="15878" max="15878" width="4.85546875" style="1060" customWidth="1"/>
    <col min="15879" max="15879" width="14.7109375" style="1060" customWidth="1"/>
    <col min="15880" max="15880" width="18.28515625" style="1060" customWidth="1"/>
    <col min="15881" max="15881" width="15.5703125" style="1060" customWidth="1"/>
    <col min="15882" max="15882" width="6.140625" style="1060" customWidth="1"/>
    <col min="15883" max="15883" width="14.7109375" style="1060" customWidth="1"/>
    <col min="15884" max="15884" width="16.140625" style="1060" customWidth="1"/>
    <col min="15885" max="15885" width="14.7109375" style="1060" customWidth="1"/>
    <col min="15886" max="15886" width="4.85546875" style="1060" customWidth="1"/>
    <col min="15887" max="15887" width="18.5703125" style="1060" customWidth="1"/>
    <col min="15888" max="16128" width="14.7109375" style="1060"/>
    <col min="16129" max="16129" width="33.140625" style="1060" customWidth="1"/>
    <col min="16130" max="16130" width="11" style="1060" customWidth="1"/>
    <col min="16131" max="16131" width="16.85546875" style="1060" customWidth="1"/>
    <col min="16132" max="16132" width="16.7109375" style="1060" customWidth="1"/>
    <col min="16133" max="16133" width="14.7109375" style="1060" customWidth="1"/>
    <col min="16134" max="16134" width="4.85546875" style="1060" customWidth="1"/>
    <col min="16135" max="16135" width="14.7109375" style="1060" customWidth="1"/>
    <col min="16136" max="16136" width="18.28515625" style="1060" customWidth="1"/>
    <col min="16137" max="16137" width="15.5703125" style="1060" customWidth="1"/>
    <col min="16138" max="16138" width="6.140625" style="1060" customWidth="1"/>
    <col min="16139" max="16139" width="14.7109375" style="1060" customWidth="1"/>
    <col min="16140" max="16140" width="16.140625" style="1060" customWidth="1"/>
    <col min="16141" max="16141" width="14.7109375" style="1060" customWidth="1"/>
    <col min="16142" max="16142" width="4.85546875" style="1060" customWidth="1"/>
    <col min="16143" max="16143" width="18.5703125" style="1060" customWidth="1"/>
    <col min="16144" max="16384" width="14.7109375" style="1060"/>
  </cols>
  <sheetData>
    <row r="1" spans="1:19" ht="15.75">
      <c r="A1" s="1059" t="s">
        <v>114</v>
      </c>
      <c r="B1" s="763"/>
      <c r="C1" s="763"/>
      <c r="D1" s="763"/>
      <c r="E1" s="763"/>
      <c r="F1" s="763"/>
      <c r="G1" s="764"/>
      <c r="H1" s="763"/>
      <c r="I1" s="763"/>
      <c r="J1" s="763"/>
      <c r="K1" s="763"/>
      <c r="L1" s="763"/>
      <c r="M1" s="763"/>
      <c r="N1" s="763"/>
      <c r="O1" s="763"/>
      <c r="P1" s="763"/>
      <c r="Q1" s="763"/>
      <c r="R1" s="763"/>
      <c r="S1" s="763"/>
    </row>
    <row r="2" spans="1:19" ht="15.75">
      <c r="A2" s="1059" t="s">
        <v>114</v>
      </c>
      <c r="B2" s="763"/>
      <c r="C2" s="763"/>
      <c r="D2" s="763"/>
      <c r="E2" s="763"/>
      <c r="F2" s="763"/>
      <c r="G2" s="764"/>
      <c r="H2" s="763"/>
      <c r="I2" s="763"/>
      <c r="J2" s="763"/>
      <c r="K2" s="763"/>
      <c r="L2" s="763"/>
      <c r="M2" s="763"/>
      <c r="N2" s="763"/>
      <c r="O2" s="763"/>
      <c r="P2" s="763"/>
      <c r="Q2" s="763"/>
      <c r="R2" s="763"/>
      <c r="S2" s="763"/>
    </row>
    <row r="3" spans="1:19" ht="19.5">
      <c r="A3" s="1322" t="s">
        <v>391</v>
      </c>
      <c r="B3" s="1322"/>
      <c r="C3" s="1322"/>
      <c r="D3" s="1322"/>
      <c r="E3" s="1322"/>
      <c r="F3" s="1322"/>
      <c r="G3" s="1322"/>
      <c r="H3" s="1322"/>
      <c r="I3" s="1322"/>
      <c r="J3" s="1322"/>
      <c r="K3" s="1322"/>
      <c r="L3" s="1322"/>
      <c r="M3" s="1322"/>
      <c r="N3" s="1322"/>
      <c r="O3" s="1322"/>
      <c r="P3" s="1061"/>
      <c r="Q3" s="1061"/>
      <c r="R3" s="1061"/>
      <c r="S3" s="1061"/>
    </row>
    <row r="4" spans="1:19" ht="19.5">
      <c r="A4" s="1322" t="s">
        <v>392</v>
      </c>
      <c r="B4" s="1322"/>
      <c r="C4" s="1322"/>
      <c r="D4" s="1322"/>
      <c r="E4" s="1322"/>
      <c r="F4" s="1322"/>
      <c r="G4" s="1322"/>
      <c r="H4" s="1322"/>
      <c r="I4" s="1322"/>
      <c r="J4" s="1322"/>
      <c r="K4" s="1322"/>
      <c r="L4" s="1322"/>
      <c r="M4" s="1322"/>
      <c r="N4" s="1322"/>
      <c r="O4" s="1322"/>
      <c r="P4" s="1061"/>
      <c r="Q4" s="1061"/>
      <c r="R4" s="1061"/>
      <c r="S4" s="1061"/>
    </row>
    <row r="5" spans="1:19" ht="19.5">
      <c r="A5" s="1322" t="s">
        <v>393</v>
      </c>
      <c r="B5" s="1322"/>
      <c r="C5" s="1322"/>
      <c r="D5" s="1322"/>
      <c r="E5" s="1322"/>
      <c r="F5" s="1322"/>
      <c r="G5" s="1322"/>
      <c r="H5" s="1322"/>
      <c r="I5" s="1322"/>
      <c r="J5" s="1322"/>
      <c r="K5" s="1322"/>
      <c r="L5" s="1322"/>
      <c r="M5" s="1322"/>
      <c r="N5" s="1322"/>
      <c r="O5" s="1322"/>
      <c r="P5" s="1061"/>
      <c r="Q5" s="1061"/>
      <c r="R5" s="1061"/>
      <c r="S5" s="1061"/>
    </row>
    <row r="6" spans="1:19" ht="19.5">
      <c r="A6" s="1322" t="s">
        <v>394</v>
      </c>
      <c r="B6" s="1322"/>
      <c r="C6" s="1322"/>
      <c r="D6" s="1322"/>
      <c r="E6" s="1322"/>
      <c r="F6" s="1322"/>
      <c r="G6" s="1322"/>
      <c r="H6" s="1322"/>
      <c r="I6" s="1322"/>
      <c r="J6" s="1322"/>
      <c r="K6" s="1322"/>
      <c r="L6" s="1322"/>
      <c r="M6" s="1322"/>
      <c r="N6" s="1322"/>
      <c r="O6" s="1322"/>
      <c r="P6" s="1061"/>
      <c r="Q6" s="1061"/>
      <c r="R6" s="1061"/>
      <c r="S6" s="1061"/>
    </row>
    <row r="7" spans="1:19" ht="19.5">
      <c r="A7" s="1322" t="s">
        <v>1172</v>
      </c>
      <c r="B7" s="1322"/>
      <c r="C7" s="1322"/>
      <c r="D7" s="1322"/>
      <c r="E7" s="1322"/>
      <c r="F7" s="1322"/>
      <c r="G7" s="1322"/>
      <c r="H7" s="1322"/>
      <c r="I7" s="1322"/>
      <c r="J7" s="1322"/>
      <c r="K7" s="1322"/>
      <c r="L7" s="1322"/>
      <c r="M7" s="1322"/>
      <c r="N7" s="1322"/>
      <c r="O7" s="1322"/>
      <c r="P7" s="1061"/>
      <c r="Q7" s="1061"/>
      <c r="R7" s="1061"/>
      <c r="S7" s="1061"/>
    </row>
    <row r="8" spans="1:19" ht="19.5">
      <c r="A8" s="1322" t="s">
        <v>395</v>
      </c>
      <c r="B8" s="1322"/>
      <c r="C8" s="1322"/>
      <c r="D8" s="1322"/>
      <c r="E8" s="1322"/>
      <c r="F8" s="1322"/>
      <c r="G8" s="1322"/>
      <c r="H8" s="1322"/>
      <c r="I8" s="1322"/>
      <c r="J8" s="1322"/>
      <c r="K8" s="1322"/>
      <c r="L8" s="1322"/>
      <c r="M8" s="1322"/>
      <c r="N8" s="1322"/>
      <c r="O8" s="1322"/>
      <c r="P8" s="1061"/>
      <c r="Q8" s="1061"/>
      <c r="R8" s="1061"/>
      <c r="S8" s="1061"/>
    </row>
    <row r="9" spans="1:19" ht="19.5">
      <c r="A9" s="1319" t="s">
        <v>861</v>
      </c>
      <c r="B9" s="1319"/>
      <c r="C9" s="1319"/>
      <c r="D9" s="1319"/>
      <c r="E9" s="1319"/>
      <c r="F9" s="1319"/>
      <c r="G9" s="1319"/>
      <c r="H9" s="1319"/>
      <c r="I9" s="1319"/>
      <c r="J9" s="1319"/>
      <c r="K9" s="1319"/>
      <c r="L9" s="1319"/>
      <c r="M9" s="1319"/>
      <c r="N9" s="1319"/>
      <c r="O9" s="1319"/>
      <c r="P9" s="1061"/>
      <c r="Q9" s="1061"/>
      <c r="R9" s="1061"/>
      <c r="S9" s="1061"/>
    </row>
    <row r="10" spans="1:19" ht="19.5">
      <c r="A10" s="1320"/>
      <c r="B10" s="1320"/>
      <c r="C10" s="1320"/>
      <c r="D10" s="1320"/>
      <c r="E10" s="1320"/>
      <c r="F10" s="1320"/>
      <c r="G10" s="1320"/>
      <c r="H10" s="1320"/>
      <c r="I10" s="1320"/>
      <c r="J10" s="1320"/>
      <c r="K10" s="1320"/>
      <c r="L10" s="1320"/>
      <c r="M10" s="1320"/>
      <c r="N10" s="1320"/>
      <c r="O10" s="1320"/>
      <c r="P10" s="1062"/>
      <c r="Q10" s="1062"/>
      <c r="R10" s="1062"/>
      <c r="S10" s="1062"/>
    </row>
    <row r="11" spans="1:19" ht="15">
      <c r="A11" s="763"/>
      <c r="B11" s="763"/>
      <c r="C11" s="763"/>
      <c r="D11" s="763"/>
      <c r="E11" s="763"/>
      <c r="F11" s="763"/>
      <c r="G11" s="764"/>
      <c r="H11" s="763"/>
      <c r="I11" s="763"/>
      <c r="J11" s="763"/>
      <c r="K11" s="763"/>
      <c r="L11" s="763"/>
      <c r="M11" s="763"/>
      <c r="N11" s="763"/>
      <c r="O11" s="763"/>
      <c r="P11" s="763"/>
      <c r="Q11" s="763"/>
      <c r="R11" s="763"/>
      <c r="S11" s="763"/>
    </row>
    <row r="12" spans="1:19" ht="16.5" thickBot="1">
      <c r="A12" s="1063"/>
      <c r="B12" s="1063"/>
      <c r="C12" s="1321" t="s">
        <v>603</v>
      </c>
      <c r="D12" s="1321"/>
      <c r="E12" s="1321"/>
      <c r="F12" s="1063"/>
      <c r="G12" s="1321" t="s">
        <v>604</v>
      </c>
      <c r="H12" s="1321"/>
      <c r="I12" s="1321"/>
      <c r="J12" s="1063"/>
      <c r="K12" s="1321" t="s">
        <v>396</v>
      </c>
      <c r="L12" s="1321"/>
      <c r="M12" s="1321"/>
      <c r="N12" s="1063"/>
      <c r="O12" s="1321" t="s">
        <v>605</v>
      </c>
      <c r="P12" s="1321"/>
      <c r="Q12" s="1321"/>
      <c r="R12" s="1063"/>
      <c r="S12" s="1057" t="s">
        <v>397</v>
      </c>
    </row>
    <row r="13" spans="1:19" ht="15">
      <c r="A13" s="1063"/>
      <c r="B13" s="1063"/>
      <c r="C13" s="759" t="s">
        <v>121</v>
      </c>
      <c r="D13" s="1064"/>
      <c r="E13" s="1064"/>
      <c r="F13" s="1064"/>
      <c r="G13" s="761" t="s">
        <v>122</v>
      </c>
      <c r="H13" s="762"/>
      <c r="I13" s="762"/>
      <c r="J13" s="762"/>
      <c r="K13" s="1065" t="s">
        <v>123</v>
      </c>
      <c r="L13" s="762"/>
      <c r="M13" s="762"/>
      <c r="N13" s="762"/>
      <c r="O13" s="1066" t="s">
        <v>124</v>
      </c>
      <c r="P13" s="762"/>
      <c r="Q13" s="762"/>
      <c r="R13" s="762"/>
      <c r="S13" s="762"/>
    </row>
    <row r="14" spans="1:19" ht="15">
      <c r="A14" s="1063"/>
      <c r="B14" s="1063"/>
      <c r="C14" s="759" t="s">
        <v>114</v>
      </c>
      <c r="D14" s="1064"/>
      <c r="E14" s="759" t="s">
        <v>398</v>
      </c>
      <c r="F14" s="1064"/>
      <c r="G14" s="761" t="s">
        <v>606</v>
      </c>
      <c r="H14" s="1064"/>
      <c r="I14" s="759" t="s">
        <v>398</v>
      </c>
      <c r="J14" s="1064"/>
      <c r="K14" s="763"/>
      <c r="L14" s="1064"/>
      <c r="M14" s="759" t="s">
        <v>398</v>
      </c>
      <c r="N14" s="1064"/>
      <c r="O14" s="763"/>
      <c r="P14" s="1064"/>
      <c r="Q14" s="759" t="s">
        <v>398</v>
      </c>
      <c r="R14" s="1064"/>
      <c r="S14" s="759" t="s">
        <v>398</v>
      </c>
    </row>
    <row r="15" spans="1:19" ht="15">
      <c r="A15" s="1063"/>
      <c r="B15" s="759" t="s">
        <v>399</v>
      </c>
      <c r="C15" s="759" t="s">
        <v>607</v>
      </c>
      <c r="D15" s="759" t="s">
        <v>400</v>
      </c>
      <c r="E15" s="759" t="s">
        <v>401</v>
      </c>
      <c r="F15" s="1064"/>
      <c r="G15" s="761" t="s">
        <v>402</v>
      </c>
      <c r="H15" s="759" t="s">
        <v>400</v>
      </c>
      <c r="I15" s="759" t="s">
        <v>401</v>
      </c>
      <c r="J15" s="1064"/>
      <c r="K15" s="759" t="s">
        <v>80</v>
      </c>
      <c r="L15" s="759" t="s">
        <v>400</v>
      </c>
      <c r="M15" s="759" t="s">
        <v>401</v>
      </c>
      <c r="N15" s="1064"/>
      <c r="O15" s="759" t="s">
        <v>80</v>
      </c>
      <c r="P15" s="759" t="s">
        <v>400</v>
      </c>
      <c r="Q15" s="759" t="s">
        <v>401</v>
      </c>
      <c r="R15" s="1064"/>
      <c r="S15" s="759" t="s">
        <v>401</v>
      </c>
    </row>
    <row r="16" spans="1:19" ht="15">
      <c r="A16" s="759"/>
      <c r="B16" s="759" t="s">
        <v>403</v>
      </c>
      <c r="C16" s="759" t="s">
        <v>404</v>
      </c>
      <c r="D16" s="759" t="s">
        <v>608</v>
      </c>
      <c r="E16" s="759" t="s">
        <v>405</v>
      </c>
      <c r="F16" s="1064"/>
      <c r="G16" s="761" t="s">
        <v>404</v>
      </c>
      <c r="H16" s="759" t="s">
        <v>608</v>
      </c>
      <c r="I16" s="759" t="s">
        <v>405</v>
      </c>
      <c r="J16" s="1064"/>
      <c r="K16" s="759" t="s">
        <v>404</v>
      </c>
      <c r="L16" s="759" t="s">
        <v>608</v>
      </c>
      <c r="M16" s="759" t="s">
        <v>405</v>
      </c>
      <c r="N16" s="1064"/>
      <c r="O16" s="759" t="s">
        <v>404</v>
      </c>
      <c r="P16" s="759" t="s">
        <v>608</v>
      </c>
      <c r="Q16" s="759" t="s">
        <v>405</v>
      </c>
      <c r="R16" s="1064"/>
      <c r="S16" s="759" t="s">
        <v>405</v>
      </c>
    </row>
    <row r="17" spans="1:19" ht="15">
      <c r="A17" s="763"/>
      <c r="B17" s="763"/>
      <c r="C17" s="763"/>
      <c r="D17" s="763"/>
      <c r="E17" s="763"/>
      <c r="F17" s="763"/>
      <c r="G17" s="764"/>
      <c r="H17" s="763"/>
      <c r="I17" s="763"/>
      <c r="J17" s="763"/>
      <c r="K17" s="763"/>
      <c r="L17" s="763"/>
      <c r="M17" s="763"/>
      <c r="N17" s="763"/>
      <c r="O17" s="763"/>
      <c r="P17" s="763"/>
      <c r="Q17" s="763"/>
      <c r="R17" s="763"/>
      <c r="S17" s="763"/>
    </row>
    <row r="18" spans="1:19" ht="15.75" thickBot="1">
      <c r="A18" s="1067"/>
      <c r="B18" s="1063"/>
      <c r="C18" s="1068"/>
      <c r="D18" s="1063"/>
      <c r="E18" s="1063"/>
      <c r="F18" s="1063"/>
      <c r="G18" s="1068"/>
      <c r="H18" s="1063"/>
      <c r="I18" s="1063"/>
      <c r="J18" s="1063"/>
      <c r="K18" s="1068"/>
      <c r="L18" s="1063"/>
      <c r="M18" s="1063"/>
      <c r="N18" s="1063"/>
      <c r="O18" s="1068"/>
      <c r="P18" s="1063"/>
      <c r="Q18" s="1063"/>
      <c r="R18" s="1063"/>
      <c r="S18" s="1063"/>
    </row>
    <row r="19" spans="1:19" ht="15">
      <c r="A19" s="1069" t="s">
        <v>1173</v>
      </c>
      <c r="B19" s="1070"/>
      <c r="C19" s="1071"/>
      <c r="D19" s="1072"/>
      <c r="E19" s="1073"/>
      <c r="F19" s="1070"/>
      <c r="G19" s="1071"/>
      <c r="H19" s="1074"/>
      <c r="I19" s="1073"/>
      <c r="J19" s="1070"/>
      <c r="K19" s="1070"/>
      <c r="L19" s="1074"/>
      <c r="M19" s="1073"/>
      <c r="N19" s="1070"/>
      <c r="O19" s="1070"/>
      <c r="P19" s="1072"/>
      <c r="Q19" s="1073"/>
      <c r="R19" s="1070"/>
      <c r="S19" s="1075"/>
    </row>
    <row r="20" spans="1:19" ht="15.75">
      <c r="A20" s="1076" t="s">
        <v>1174</v>
      </c>
      <c r="B20" s="1077">
        <v>350.1</v>
      </c>
      <c r="C20" s="1078">
        <v>6.5839999999999996E-3</v>
      </c>
      <c r="D20" s="1079">
        <v>1</v>
      </c>
      <c r="E20" s="1078">
        <v>6.6E-3</v>
      </c>
      <c r="F20" s="1080"/>
      <c r="G20" s="1078"/>
      <c r="H20" s="1081"/>
      <c r="I20" s="1082"/>
      <c r="J20" s="1080"/>
      <c r="K20" s="1078"/>
      <c r="L20" s="1081"/>
      <c r="M20" s="1082"/>
      <c r="N20" s="1080"/>
      <c r="O20" s="1078"/>
      <c r="P20" s="1079"/>
      <c r="Q20" s="1082"/>
      <c r="R20" s="1080"/>
      <c r="S20" s="1083">
        <v>6.6E-3</v>
      </c>
    </row>
    <row r="21" spans="1:19" ht="15.75">
      <c r="A21" s="1076"/>
      <c r="B21" s="1077">
        <v>351</v>
      </c>
      <c r="C21" s="1078"/>
      <c r="D21" s="1081"/>
      <c r="E21" s="1078"/>
      <c r="F21" s="1080"/>
      <c r="G21" s="1078">
        <v>0.14219999999999999</v>
      </c>
      <c r="H21" s="1081">
        <v>1</v>
      </c>
      <c r="I21" s="1078">
        <v>0.14219999999999999</v>
      </c>
      <c r="J21" s="1080"/>
      <c r="K21" s="1078"/>
      <c r="L21" s="1081"/>
      <c r="M21" s="1078"/>
      <c r="N21" s="1080"/>
      <c r="O21" s="1078"/>
      <c r="P21" s="1081"/>
      <c r="Q21" s="1078"/>
      <c r="R21" s="1080"/>
      <c r="S21" s="1083">
        <v>0.14219999999999999</v>
      </c>
    </row>
    <row r="22" spans="1:19" ht="15">
      <c r="A22" s="1084"/>
      <c r="B22" s="1077">
        <v>352</v>
      </c>
      <c r="C22" s="1078">
        <v>2.2200000000000001E-2</v>
      </c>
      <c r="D22" s="1081">
        <v>0.51122100000000004</v>
      </c>
      <c r="E22" s="1078">
        <v>1.1299999999999999E-2</v>
      </c>
      <c r="F22" s="1080"/>
      <c r="G22" s="1078">
        <v>1.6199999999999999E-2</v>
      </c>
      <c r="H22" s="1081">
        <v>0.39937400000000001</v>
      </c>
      <c r="I22" s="1078">
        <v>6.4999999999999997E-3</v>
      </c>
      <c r="J22" s="1080"/>
      <c r="K22" s="1078">
        <v>2.1899999999999999E-2</v>
      </c>
      <c r="L22" s="1081">
        <v>3.3013000000000001E-2</v>
      </c>
      <c r="M22" s="1078">
        <v>6.9999999999999999E-4</v>
      </c>
      <c r="N22" s="1080"/>
      <c r="O22" s="1078">
        <v>2.1899999999999999E-2</v>
      </c>
      <c r="P22" s="1081">
        <v>5.6391999999999998E-2</v>
      </c>
      <c r="Q22" s="1078">
        <v>1.1999999999999999E-3</v>
      </c>
      <c r="R22" s="1080"/>
      <c r="S22" s="1083">
        <v>1.9699999999999999E-2</v>
      </c>
    </row>
    <row r="23" spans="1:19" ht="15">
      <c r="A23" s="1084"/>
      <c r="B23" s="1077">
        <v>353</v>
      </c>
      <c r="C23" s="1078">
        <v>2.75E-2</v>
      </c>
      <c r="D23" s="1081">
        <v>0.51122100000000004</v>
      </c>
      <c r="E23" s="1078">
        <v>1.41E-2</v>
      </c>
      <c r="F23" s="1080"/>
      <c r="G23" s="1078">
        <v>2.3699999999999999E-2</v>
      </c>
      <c r="H23" s="1081">
        <v>0.39937400000000001</v>
      </c>
      <c r="I23" s="1078">
        <v>9.4999999999999998E-3</v>
      </c>
      <c r="J23" s="1080"/>
      <c r="K23" s="1078">
        <v>2.1899999999999999E-2</v>
      </c>
      <c r="L23" s="1081">
        <v>3.3013000000000001E-2</v>
      </c>
      <c r="M23" s="1078">
        <v>6.9999999999999999E-4</v>
      </c>
      <c r="N23" s="1080"/>
      <c r="O23" s="1078">
        <v>2.1899999999999999E-2</v>
      </c>
      <c r="P23" s="1081">
        <v>5.6391999999999998E-2</v>
      </c>
      <c r="Q23" s="1078">
        <v>1.1999999999999999E-3</v>
      </c>
      <c r="R23" s="1080"/>
      <c r="S23" s="1083">
        <v>2.5499999999999998E-2</v>
      </c>
    </row>
    <row r="24" spans="1:19" ht="15">
      <c r="A24" s="1084"/>
      <c r="B24" s="1077">
        <v>354</v>
      </c>
      <c r="C24" s="1078">
        <v>1.6299999999999999E-2</v>
      </c>
      <c r="D24" s="1081">
        <v>0.51122100000000004</v>
      </c>
      <c r="E24" s="1078">
        <v>8.3000000000000001E-3</v>
      </c>
      <c r="F24" s="1080"/>
      <c r="G24" s="1078">
        <v>1.5900000000000001E-2</v>
      </c>
      <c r="H24" s="1081">
        <v>0.39937400000000001</v>
      </c>
      <c r="I24" s="1078">
        <v>6.4000000000000003E-3</v>
      </c>
      <c r="J24" s="1080"/>
      <c r="K24" s="1078">
        <v>2.1899999999999999E-2</v>
      </c>
      <c r="L24" s="1081">
        <v>3.3013000000000001E-2</v>
      </c>
      <c r="M24" s="1078">
        <v>6.9999999999999999E-4</v>
      </c>
      <c r="N24" s="1080"/>
      <c r="O24" s="1078">
        <v>2.1899999999999999E-2</v>
      </c>
      <c r="P24" s="1081">
        <v>5.6391999999999998E-2</v>
      </c>
      <c r="Q24" s="1078">
        <v>1.1999999999999999E-3</v>
      </c>
      <c r="R24" s="1080"/>
      <c r="S24" s="1083">
        <v>1.66E-2</v>
      </c>
    </row>
    <row r="25" spans="1:19" ht="15">
      <c r="A25" s="1084"/>
      <c r="B25" s="1077">
        <v>355</v>
      </c>
      <c r="C25" s="1078">
        <v>3.7199999999999997E-2</v>
      </c>
      <c r="D25" s="1081">
        <v>0.51122100000000004</v>
      </c>
      <c r="E25" s="1078">
        <v>1.9E-2</v>
      </c>
      <c r="F25" s="1080"/>
      <c r="G25" s="1078">
        <v>2.7099999999999999E-2</v>
      </c>
      <c r="H25" s="1081">
        <v>0.39937400000000001</v>
      </c>
      <c r="I25" s="1078">
        <v>1.0800000000000001E-2</v>
      </c>
      <c r="J25" s="1080"/>
      <c r="K25" s="1078">
        <v>2.1899999999999999E-2</v>
      </c>
      <c r="L25" s="1081">
        <v>3.3013000000000001E-2</v>
      </c>
      <c r="M25" s="1078">
        <v>6.9999999999999999E-4</v>
      </c>
      <c r="N25" s="1080"/>
      <c r="O25" s="1078">
        <v>2.1899999999999999E-2</v>
      </c>
      <c r="P25" s="1081">
        <v>5.6391999999999998E-2</v>
      </c>
      <c r="Q25" s="1078">
        <v>1.1999999999999999E-3</v>
      </c>
      <c r="R25" s="1080"/>
      <c r="S25" s="1083">
        <v>3.1699999999999999E-2</v>
      </c>
    </row>
    <row r="26" spans="1:19" ht="15">
      <c r="A26" s="1084"/>
      <c r="B26" s="1077">
        <v>356</v>
      </c>
      <c r="C26" s="1078">
        <v>1.9900000000000001E-2</v>
      </c>
      <c r="D26" s="1081">
        <v>0.51122100000000004</v>
      </c>
      <c r="E26" s="1078">
        <v>1.0200000000000001E-2</v>
      </c>
      <c r="F26" s="1080"/>
      <c r="G26" s="1078">
        <v>1.5299999999999999E-2</v>
      </c>
      <c r="H26" s="1081">
        <v>0.39937400000000001</v>
      </c>
      <c r="I26" s="1078">
        <v>6.1000000000000004E-3</v>
      </c>
      <c r="J26" s="1080"/>
      <c r="K26" s="1078">
        <v>2.1899999999999999E-2</v>
      </c>
      <c r="L26" s="1081">
        <v>3.3013000000000001E-2</v>
      </c>
      <c r="M26" s="1078">
        <v>6.9999999999999999E-4</v>
      </c>
      <c r="N26" s="1080"/>
      <c r="O26" s="1078">
        <v>2.1899999999999999E-2</v>
      </c>
      <c r="P26" s="1081">
        <v>5.6391999999999998E-2</v>
      </c>
      <c r="Q26" s="1078">
        <v>1.1999999999999999E-3</v>
      </c>
      <c r="R26" s="1080"/>
      <c r="S26" s="1083">
        <v>1.8200000000000001E-2</v>
      </c>
    </row>
    <row r="27" spans="1:19" ht="15">
      <c r="A27" s="1084"/>
      <c r="B27" s="1077">
        <v>357</v>
      </c>
      <c r="C27" s="1078">
        <v>2.4E-2</v>
      </c>
      <c r="D27" s="1081">
        <v>0.51122100000000004</v>
      </c>
      <c r="E27" s="1078">
        <v>1.23E-2</v>
      </c>
      <c r="F27" s="1080"/>
      <c r="G27" s="1078">
        <v>3.7100000000000001E-2</v>
      </c>
      <c r="H27" s="1081">
        <v>0.39937400000000001</v>
      </c>
      <c r="I27" s="1078">
        <v>1.4800000000000001E-2</v>
      </c>
      <c r="J27" s="1080"/>
      <c r="K27" s="1078">
        <v>2.1899999999999999E-2</v>
      </c>
      <c r="L27" s="1081">
        <v>3.3013000000000001E-2</v>
      </c>
      <c r="M27" s="1078">
        <v>6.9999999999999999E-4</v>
      </c>
      <c r="N27" s="1080"/>
      <c r="O27" s="1078">
        <v>2.1899999999999999E-2</v>
      </c>
      <c r="P27" s="1081">
        <v>5.6391999999999998E-2</v>
      </c>
      <c r="Q27" s="1078">
        <v>1.1999999999999999E-3</v>
      </c>
      <c r="R27" s="1080"/>
      <c r="S27" s="1083">
        <v>2.9000000000000001E-2</v>
      </c>
    </row>
    <row r="28" spans="1:19" ht="15">
      <c r="A28" s="1084"/>
      <c r="B28" s="1077">
        <v>358</v>
      </c>
      <c r="C28" s="1078">
        <v>4.6399999999999997E-2</v>
      </c>
      <c r="D28" s="1081">
        <v>0.51122100000000004</v>
      </c>
      <c r="E28" s="1078">
        <v>2.3699999999999999E-2</v>
      </c>
      <c r="F28" s="1080"/>
      <c r="G28" s="1078">
        <v>5.2400000000000002E-2</v>
      </c>
      <c r="H28" s="1081">
        <v>0.39937400000000001</v>
      </c>
      <c r="I28" s="1078">
        <v>2.0899999999999998E-2</v>
      </c>
      <c r="J28" s="1080"/>
      <c r="K28" s="1078">
        <v>2.1899999999999999E-2</v>
      </c>
      <c r="L28" s="1081">
        <v>3.3013000000000001E-2</v>
      </c>
      <c r="M28" s="1078">
        <v>6.9999999999999999E-4</v>
      </c>
      <c r="N28" s="1080"/>
      <c r="O28" s="1078">
        <v>2.1899999999999999E-2</v>
      </c>
      <c r="P28" s="1081">
        <v>5.6391999999999998E-2</v>
      </c>
      <c r="Q28" s="1078">
        <v>1.1999999999999999E-3</v>
      </c>
      <c r="R28" s="1080"/>
      <c r="S28" s="1083">
        <v>4.65E-2</v>
      </c>
    </row>
    <row r="29" spans="1:19" ht="15.75" thickBot="1">
      <c r="A29" s="763"/>
      <c r="B29" s="1063"/>
      <c r="C29" s="1068"/>
      <c r="D29" s="1085"/>
      <c r="E29" s="764"/>
      <c r="F29" s="1063"/>
      <c r="G29" s="1068"/>
      <c r="H29" s="1085"/>
      <c r="I29" s="764"/>
      <c r="J29" s="1063"/>
      <c r="K29" s="1068"/>
      <c r="L29" s="1085"/>
      <c r="M29" s="764"/>
      <c r="N29" s="1063"/>
      <c r="O29" s="1068"/>
      <c r="P29" s="1085"/>
      <c r="Q29" s="1068"/>
      <c r="R29" s="1063"/>
      <c r="S29" s="1068"/>
    </row>
    <row r="30" spans="1:19" ht="15">
      <c r="A30" s="1086" t="s">
        <v>964</v>
      </c>
      <c r="B30" s="1087"/>
      <c r="C30" s="1088"/>
      <c r="D30" s="1089"/>
      <c r="E30" s="1090"/>
      <c r="F30" s="1087"/>
      <c r="G30" s="1088"/>
      <c r="H30" s="1089"/>
      <c r="I30" s="1090"/>
      <c r="J30" s="1087"/>
      <c r="K30" s="1087"/>
      <c r="L30" s="1089"/>
      <c r="M30" s="1090"/>
      <c r="N30" s="1087"/>
      <c r="O30" s="1087"/>
      <c r="P30" s="1089"/>
      <c r="Q30" s="1090"/>
      <c r="R30" s="1087"/>
      <c r="S30" s="1091"/>
    </row>
    <row r="31" spans="1:19" ht="15">
      <c r="A31" s="1092"/>
      <c r="B31" s="1093">
        <v>390</v>
      </c>
      <c r="C31" s="1094">
        <v>2.06E-2</v>
      </c>
      <c r="D31" s="1095">
        <v>0.523756</v>
      </c>
      <c r="E31" s="1094">
        <v>1.0800000000000001E-2</v>
      </c>
      <c r="F31" s="1096"/>
      <c r="G31" s="1094">
        <v>1.9099999999999999E-2</v>
      </c>
      <c r="H31" s="1095">
        <v>0.42593999999999999</v>
      </c>
      <c r="I31" s="1094">
        <v>8.0999999999999996E-3</v>
      </c>
      <c r="J31" s="1096"/>
      <c r="K31" s="1094">
        <v>3.4300000000000004E-2</v>
      </c>
      <c r="L31" s="1095">
        <v>1.9295E-2</v>
      </c>
      <c r="M31" s="1094">
        <v>6.9999999999999999E-4</v>
      </c>
      <c r="N31" s="1096"/>
      <c r="O31" s="1094">
        <v>3.4300000000000004E-2</v>
      </c>
      <c r="P31" s="1095">
        <v>3.1008999999999998E-2</v>
      </c>
      <c r="Q31" s="1094">
        <v>1.1000000000000001E-3</v>
      </c>
      <c r="R31" s="1096"/>
      <c r="S31" s="1097">
        <v>2.07E-2</v>
      </c>
    </row>
    <row r="32" spans="1:19" ht="15">
      <c r="A32" s="1092"/>
      <c r="B32" s="1093">
        <v>391</v>
      </c>
      <c r="C32" s="1094">
        <v>3.2500000000000001E-2</v>
      </c>
      <c r="D32" s="1098">
        <v>0.523756</v>
      </c>
      <c r="E32" s="1094">
        <v>1.7000000000000001E-2</v>
      </c>
      <c r="F32" s="1096"/>
      <c r="G32" s="1094">
        <v>3.1699999999999999E-2</v>
      </c>
      <c r="H32" s="1098">
        <v>0.42593999999999999</v>
      </c>
      <c r="I32" s="1094">
        <v>1.35E-2</v>
      </c>
      <c r="J32" s="1096"/>
      <c r="K32" s="1094">
        <v>3.4300000000000004E-2</v>
      </c>
      <c r="L32" s="1098">
        <v>1.9295E-2</v>
      </c>
      <c r="M32" s="1094">
        <v>6.9999999999999999E-4</v>
      </c>
      <c r="N32" s="1096"/>
      <c r="O32" s="1094">
        <v>3.4300000000000004E-2</v>
      </c>
      <c r="P32" s="1098">
        <v>3.1008999999999998E-2</v>
      </c>
      <c r="Q32" s="1094">
        <v>1.1000000000000001E-3</v>
      </c>
      <c r="R32" s="1096"/>
      <c r="S32" s="1097">
        <v>3.2300000000000002E-2</v>
      </c>
    </row>
    <row r="33" spans="1:19" ht="15">
      <c r="A33" s="1092"/>
      <c r="B33" s="1093">
        <v>392</v>
      </c>
      <c r="C33" s="1094">
        <v>3.4500000000000003E-2</v>
      </c>
      <c r="D33" s="1098">
        <v>0.523756</v>
      </c>
      <c r="E33" s="1094">
        <v>1.8100000000000002E-2</v>
      </c>
      <c r="F33" s="1096"/>
      <c r="G33" s="1094">
        <v>3.4000000000000002E-2</v>
      </c>
      <c r="H33" s="1098">
        <v>0.42593999999999999</v>
      </c>
      <c r="I33" s="1094">
        <v>1.4500000000000001E-2</v>
      </c>
      <c r="J33" s="1096"/>
      <c r="K33" s="1094">
        <v>3.4300000000000004E-2</v>
      </c>
      <c r="L33" s="1098">
        <v>1.9295E-2</v>
      </c>
      <c r="M33" s="1094">
        <v>6.9999999999999999E-4</v>
      </c>
      <c r="N33" s="1096"/>
      <c r="O33" s="1094">
        <v>3.4300000000000004E-2</v>
      </c>
      <c r="P33" s="1098">
        <v>3.1008999999999998E-2</v>
      </c>
      <c r="Q33" s="1094">
        <v>1.1000000000000001E-3</v>
      </c>
      <c r="R33" s="1096"/>
      <c r="S33" s="1097">
        <v>3.44E-2</v>
      </c>
    </row>
    <row r="34" spans="1:19" ht="15">
      <c r="A34" s="1092"/>
      <c r="B34" s="1093">
        <v>393</v>
      </c>
      <c r="C34" s="1094">
        <v>1.78E-2</v>
      </c>
      <c r="D34" s="1098">
        <v>0.523756</v>
      </c>
      <c r="E34" s="1094">
        <v>9.2999999999999992E-3</v>
      </c>
      <c r="F34" s="1096"/>
      <c r="G34" s="1094">
        <v>1.7999999999999999E-2</v>
      </c>
      <c r="H34" s="1098">
        <v>0.42593999999999999</v>
      </c>
      <c r="I34" s="1094">
        <v>7.7000000000000002E-3</v>
      </c>
      <c r="J34" s="1096"/>
      <c r="K34" s="1094">
        <v>3.4300000000000004E-2</v>
      </c>
      <c r="L34" s="1098">
        <v>1.9295E-2</v>
      </c>
      <c r="M34" s="1094">
        <v>6.9999999999999999E-4</v>
      </c>
      <c r="N34" s="1096"/>
      <c r="O34" s="1094">
        <v>3.4300000000000004E-2</v>
      </c>
      <c r="P34" s="1098">
        <v>3.1008999999999998E-2</v>
      </c>
      <c r="Q34" s="1094">
        <v>1.1000000000000001E-3</v>
      </c>
      <c r="R34" s="1096"/>
      <c r="S34" s="1097">
        <v>1.8800000000000001E-2</v>
      </c>
    </row>
    <row r="35" spans="1:19" ht="15.75" customHeight="1">
      <c r="A35" s="1092"/>
      <c r="B35" s="1093">
        <v>394</v>
      </c>
      <c r="C35" s="1094">
        <v>2.5899999999999999E-2</v>
      </c>
      <c r="D35" s="1098">
        <v>0.523756</v>
      </c>
      <c r="E35" s="1094">
        <v>1.3599999999999999E-2</v>
      </c>
      <c r="F35" s="1096"/>
      <c r="G35" s="1094">
        <v>2.5700000000000001E-2</v>
      </c>
      <c r="H35" s="1098">
        <v>0.42593999999999999</v>
      </c>
      <c r="I35" s="1094">
        <v>1.09E-2</v>
      </c>
      <c r="J35" s="1096"/>
      <c r="K35" s="1094">
        <v>3.4300000000000004E-2</v>
      </c>
      <c r="L35" s="1098">
        <v>1.9295E-2</v>
      </c>
      <c r="M35" s="1094">
        <v>6.9999999999999999E-4</v>
      </c>
      <c r="N35" s="1096"/>
      <c r="O35" s="1094">
        <v>3.4300000000000004E-2</v>
      </c>
      <c r="P35" s="1098">
        <v>3.1008999999999998E-2</v>
      </c>
      <c r="Q35" s="1094">
        <v>1.1000000000000001E-3</v>
      </c>
      <c r="R35" s="1096"/>
      <c r="S35" s="1097">
        <v>2.63E-2</v>
      </c>
    </row>
    <row r="36" spans="1:19" ht="15.75" customHeight="1">
      <c r="A36" s="1092"/>
      <c r="B36" s="1093">
        <v>395</v>
      </c>
      <c r="C36" s="1094">
        <v>3.5000000000000003E-2</v>
      </c>
      <c r="D36" s="1098">
        <v>0.523756</v>
      </c>
      <c r="E36" s="1094">
        <v>1.83E-2</v>
      </c>
      <c r="F36" s="1096"/>
      <c r="G36" s="1094">
        <v>4.0099999999999997E-2</v>
      </c>
      <c r="H36" s="1098">
        <v>0.42593999999999999</v>
      </c>
      <c r="I36" s="1094">
        <v>1.7100000000000001E-2</v>
      </c>
      <c r="J36" s="1096"/>
      <c r="K36" s="1094">
        <v>3.4300000000000004E-2</v>
      </c>
      <c r="L36" s="1098">
        <v>1.9295E-2</v>
      </c>
      <c r="M36" s="1094">
        <v>6.9999999999999999E-4</v>
      </c>
      <c r="N36" s="1096"/>
      <c r="O36" s="1094">
        <v>3.4300000000000004E-2</v>
      </c>
      <c r="P36" s="1098">
        <v>3.1008999999999998E-2</v>
      </c>
      <c r="Q36" s="1094">
        <v>1.1000000000000001E-3</v>
      </c>
      <c r="R36" s="1096"/>
      <c r="S36" s="1097">
        <v>3.7199999999999997E-2</v>
      </c>
    </row>
    <row r="37" spans="1:19" ht="15.75" customHeight="1">
      <c r="A37" s="1092"/>
      <c r="B37" s="1093">
        <v>396</v>
      </c>
      <c r="C37" s="1094">
        <v>4.1599999999999998E-2</v>
      </c>
      <c r="D37" s="1098">
        <v>0.523756</v>
      </c>
      <c r="E37" s="1094">
        <v>2.18E-2</v>
      </c>
      <c r="F37" s="1096"/>
      <c r="G37" s="1094">
        <v>3.9E-2</v>
      </c>
      <c r="H37" s="1098">
        <v>0.42593999999999999</v>
      </c>
      <c r="I37" s="1094">
        <v>1.66E-2</v>
      </c>
      <c r="J37" s="1096"/>
      <c r="K37" s="1094">
        <v>3.4300000000000004E-2</v>
      </c>
      <c r="L37" s="1098">
        <v>1.9295E-2</v>
      </c>
      <c r="M37" s="1094">
        <v>6.9999999999999999E-4</v>
      </c>
      <c r="N37" s="1096"/>
      <c r="O37" s="1094">
        <v>3.4300000000000004E-2</v>
      </c>
      <c r="P37" s="1098">
        <v>3.1008999999999998E-2</v>
      </c>
      <c r="Q37" s="1094">
        <v>1.1000000000000001E-3</v>
      </c>
      <c r="R37" s="1096"/>
      <c r="S37" s="1097">
        <v>4.02E-2</v>
      </c>
    </row>
    <row r="38" spans="1:19" ht="15">
      <c r="A38" s="1092"/>
      <c r="B38" s="1093">
        <v>397</v>
      </c>
      <c r="C38" s="1094">
        <v>5.0200000000000002E-2</v>
      </c>
      <c r="D38" s="1098">
        <v>0.523756</v>
      </c>
      <c r="E38" s="1094">
        <v>2.63E-2</v>
      </c>
      <c r="F38" s="1096"/>
      <c r="G38" s="1094">
        <v>4.9799999999999997E-2</v>
      </c>
      <c r="H38" s="1098">
        <v>0.42593999999999999</v>
      </c>
      <c r="I38" s="1094">
        <v>2.12E-2</v>
      </c>
      <c r="J38" s="1096"/>
      <c r="K38" s="1094">
        <v>3.4300000000000004E-2</v>
      </c>
      <c r="L38" s="1098">
        <v>1.9295E-2</v>
      </c>
      <c r="M38" s="1094">
        <v>6.9999999999999999E-4</v>
      </c>
      <c r="N38" s="1096"/>
      <c r="O38" s="1094">
        <v>3.4300000000000004E-2</v>
      </c>
      <c r="P38" s="1098">
        <v>3.1008999999999998E-2</v>
      </c>
      <c r="Q38" s="1094">
        <v>1.1000000000000001E-3</v>
      </c>
      <c r="R38" s="1096"/>
      <c r="S38" s="1097">
        <v>4.9299999999999997E-2</v>
      </c>
    </row>
    <row r="39" spans="1:19" ht="15">
      <c r="A39" s="1092"/>
      <c r="B39" s="1093">
        <v>398</v>
      </c>
      <c r="C39" s="1094">
        <v>2.7099999999999999E-2</v>
      </c>
      <c r="D39" s="1098">
        <v>0.523756</v>
      </c>
      <c r="E39" s="1094">
        <v>1.4200000000000001E-2</v>
      </c>
      <c r="F39" s="1096"/>
      <c r="G39" s="1094">
        <v>2.7E-2</v>
      </c>
      <c r="H39" s="1098">
        <v>0.42593999999999999</v>
      </c>
      <c r="I39" s="1094">
        <v>1.15E-2</v>
      </c>
      <c r="J39" s="1096"/>
      <c r="K39" s="1094">
        <v>3.4300000000000004E-2</v>
      </c>
      <c r="L39" s="1098">
        <v>1.9295E-2</v>
      </c>
      <c r="M39" s="1094">
        <v>6.9999999999999999E-4</v>
      </c>
      <c r="N39" s="1096"/>
      <c r="O39" s="1094">
        <v>3.4300000000000004E-2</v>
      </c>
      <c r="P39" s="1098">
        <v>3.1008999999999998E-2</v>
      </c>
      <c r="Q39" s="1094">
        <v>1.1000000000000001E-3</v>
      </c>
      <c r="R39" s="1096"/>
      <c r="S39" s="1097">
        <v>2.75E-2</v>
      </c>
    </row>
    <row r="40" spans="1:19" ht="15.75" thickBot="1">
      <c r="A40" s="1099"/>
      <c r="B40" s="1100"/>
      <c r="C40" s="1101"/>
      <c r="D40" s="1102"/>
      <c r="E40" s="1103"/>
      <c r="F40" s="1100"/>
      <c r="G40" s="1103"/>
      <c r="H40" s="1102"/>
      <c r="I40" s="1103"/>
      <c r="J40" s="1100"/>
      <c r="K40" s="1101"/>
      <c r="L40" s="1102"/>
      <c r="M40" s="1103"/>
      <c r="N40" s="1100"/>
      <c r="O40" s="1101"/>
      <c r="P40" s="1102"/>
      <c r="Q40" s="1103"/>
      <c r="R40" s="1100"/>
      <c r="S40" s="1103"/>
    </row>
    <row r="41" spans="1:19" ht="15">
      <c r="A41" s="763"/>
      <c r="B41" s="1063"/>
      <c r="C41" s="1068"/>
      <c r="D41" s="763"/>
      <c r="E41" s="763"/>
      <c r="F41" s="763"/>
      <c r="G41" s="764"/>
      <c r="H41" s="763"/>
      <c r="I41" s="763"/>
      <c r="J41" s="763"/>
      <c r="K41" s="763"/>
      <c r="L41" s="763"/>
      <c r="M41" s="763"/>
      <c r="N41" s="763"/>
      <c r="O41" s="763"/>
      <c r="P41" s="763"/>
      <c r="Q41" s="763"/>
      <c r="R41" s="763"/>
      <c r="S41" s="763"/>
    </row>
    <row r="42" spans="1:19" ht="15" customHeight="1">
      <c r="A42" s="1315" t="s">
        <v>1175</v>
      </c>
      <c r="B42" s="1315"/>
      <c r="C42" s="1315"/>
      <c r="D42" s="1315"/>
      <c r="E42" s="1104"/>
      <c r="F42" s="1105" t="s">
        <v>123</v>
      </c>
      <c r="G42" s="1106" t="s">
        <v>1054</v>
      </c>
      <c r="H42" s="1107"/>
      <c r="I42" s="1104"/>
      <c r="J42" s="1104"/>
      <c r="K42" s="1104"/>
      <c r="L42" s="1108" t="s">
        <v>610</v>
      </c>
      <c r="M42" s="1104" t="s">
        <v>1176</v>
      </c>
      <c r="N42" s="1104"/>
      <c r="O42" s="1104"/>
      <c r="P42" s="1104"/>
      <c r="Q42" s="1104"/>
      <c r="R42" s="1104"/>
      <c r="S42" s="1104"/>
    </row>
    <row r="43" spans="1:19" ht="15">
      <c r="A43" s="1315"/>
      <c r="B43" s="1315"/>
      <c r="C43" s="1315"/>
      <c r="D43" s="1315"/>
      <c r="E43" s="1104"/>
      <c r="F43" s="1105"/>
      <c r="G43" s="1104"/>
      <c r="H43" s="1107"/>
      <c r="I43" s="1104"/>
      <c r="J43" s="1104"/>
      <c r="K43" s="1104"/>
      <c r="L43" s="1104"/>
      <c r="M43" s="1104" t="s">
        <v>1177</v>
      </c>
      <c r="N43" s="1104"/>
      <c r="O43" s="1104"/>
      <c r="P43" s="1104"/>
      <c r="Q43" s="1104"/>
      <c r="R43" s="1104"/>
      <c r="S43" s="1104"/>
    </row>
    <row r="44" spans="1:19" ht="15" customHeight="1">
      <c r="A44" s="1315"/>
      <c r="B44" s="1315"/>
      <c r="C44" s="1315"/>
      <c r="D44" s="1315"/>
      <c r="E44" s="1104"/>
      <c r="F44" s="1109"/>
      <c r="G44" s="1104"/>
      <c r="H44" s="1107"/>
      <c r="I44" s="1104"/>
      <c r="J44" s="1104"/>
      <c r="K44" s="1104"/>
      <c r="L44" s="1104"/>
      <c r="M44" s="1104" t="s">
        <v>611</v>
      </c>
      <c r="N44" s="1104"/>
      <c r="O44" s="1104"/>
      <c r="P44" s="1104"/>
      <c r="Q44" s="1104"/>
      <c r="R44" s="1104"/>
      <c r="S44" s="1104"/>
    </row>
    <row r="45" spans="1:19" ht="15">
      <c r="A45" s="1315"/>
      <c r="B45" s="1315"/>
      <c r="C45" s="1315"/>
      <c r="D45" s="1315"/>
      <c r="E45" s="1104"/>
      <c r="F45" s="1108" t="s">
        <v>609</v>
      </c>
      <c r="G45" s="1106" t="s">
        <v>1055</v>
      </c>
      <c r="H45" s="1104"/>
      <c r="I45" s="1104"/>
      <c r="J45" s="1104"/>
      <c r="K45" s="1104"/>
      <c r="L45" s="1104"/>
      <c r="M45" s="1104"/>
      <c r="N45" s="1104"/>
      <c r="O45" s="1104"/>
      <c r="P45" s="1104"/>
      <c r="Q45" s="1104"/>
      <c r="R45" s="1104"/>
      <c r="S45" s="1104"/>
    </row>
    <row r="46" spans="1:19" ht="15.75" customHeight="1">
      <c r="A46" s="1315"/>
      <c r="B46" s="1315"/>
      <c r="C46" s="1315"/>
      <c r="D46" s="1315"/>
      <c r="E46" s="1104"/>
      <c r="F46" s="1109"/>
      <c r="G46" s="1104"/>
      <c r="H46" s="1107"/>
      <c r="I46" s="1104"/>
      <c r="J46" s="1104"/>
      <c r="K46" s="1104"/>
      <c r="L46" s="1108" t="s">
        <v>612</v>
      </c>
      <c r="M46" s="1104" t="s">
        <v>1058</v>
      </c>
      <c r="N46" s="1104"/>
      <c r="O46" s="1104"/>
      <c r="P46" s="1104"/>
      <c r="Q46" s="1104"/>
      <c r="R46" s="1104"/>
      <c r="S46" s="1104"/>
    </row>
    <row r="47" spans="1:19" ht="15.75" customHeight="1">
      <c r="A47" s="1104" t="s">
        <v>1178</v>
      </c>
      <c r="B47" s="1110"/>
      <c r="C47" s="1111"/>
      <c r="D47" s="1110"/>
      <c r="E47" s="1110"/>
      <c r="F47" s="1108"/>
      <c r="G47" s="1104"/>
      <c r="H47" s="1107"/>
      <c r="I47" s="1104"/>
      <c r="J47" s="1104"/>
      <c r="K47" s="1104"/>
      <c r="L47" s="1104"/>
      <c r="M47" s="1104" t="s">
        <v>1059</v>
      </c>
      <c r="N47" s="1104"/>
      <c r="O47" s="1104"/>
      <c r="P47" s="1104"/>
      <c r="Q47" s="1104"/>
      <c r="R47" s="1104"/>
      <c r="S47" s="1104"/>
    </row>
    <row r="48" spans="1:19" ht="15.75" customHeight="1">
      <c r="A48" s="1104"/>
      <c r="B48" s="1110"/>
      <c r="C48" s="1111"/>
      <c r="D48" s="1112"/>
      <c r="E48" s="1112"/>
      <c r="F48" s="1113"/>
      <c r="G48" s="1104"/>
      <c r="H48" s="1104"/>
      <c r="I48" s="1104"/>
      <c r="J48" s="1104"/>
      <c r="K48" s="1104"/>
      <c r="L48" s="1104"/>
      <c r="M48" s="1104"/>
      <c r="N48" s="1104"/>
      <c r="O48" s="1114"/>
      <c r="P48" s="1104"/>
      <c r="Q48" s="1104"/>
      <c r="R48" s="1104"/>
      <c r="S48" s="1104"/>
    </row>
    <row r="49" spans="1:19" ht="15.75">
      <c r="A49" s="1104" t="s">
        <v>1056</v>
      </c>
      <c r="B49" s="1110"/>
      <c r="C49" s="1111"/>
      <c r="D49" s="1110"/>
      <c r="E49" s="1110"/>
      <c r="F49" s="1104"/>
      <c r="G49" s="1104"/>
      <c r="H49" s="1104"/>
      <c r="I49" s="1104"/>
      <c r="J49" s="1104"/>
      <c r="K49" s="1104"/>
      <c r="L49" s="1108" t="s">
        <v>1179</v>
      </c>
      <c r="M49" s="1316" t="s">
        <v>1180</v>
      </c>
      <c r="N49" s="1316"/>
      <c r="O49" s="1316"/>
      <c r="P49" s="1316"/>
      <c r="Q49" s="1316"/>
      <c r="R49" s="1316"/>
      <c r="S49" s="1316"/>
    </row>
    <row r="50" spans="1:19" ht="15.75" customHeight="1">
      <c r="A50" s="1104" t="s">
        <v>1057</v>
      </c>
      <c r="B50" s="1110"/>
      <c r="C50" s="1111"/>
      <c r="D50" s="1110"/>
      <c r="E50" s="1110"/>
      <c r="F50" s="1104"/>
      <c r="G50" s="1104"/>
      <c r="H50" s="1104"/>
      <c r="I50" s="1104"/>
      <c r="J50" s="1104"/>
      <c r="K50" s="1104"/>
      <c r="L50" s="1104"/>
      <c r="M50" s="1316"/>
      <c r="N50" s="1316"/>
      <c r="O50" s="1316"/>
      <c r="P50" s="1316"/>
      <c r="Q50" s="1316"/>
      <c r="R50" s="1316"/>
      <c r="S50" s="1316"/>
    </row>
    <row r="51" spans="1:19" ht="15.75">
      <c r="A51" s="1104"/>
      <c r="B51" s="1110"/>
      <c r="C51" s="1111"/>
      <c r="D51" s="1112"/>
      <c r="E51" s="1112"/>
      <c r="F51" s="1104"/>
      <c r="G51" s="1104"/>
      <c r="H51" s="1104"/>
      <c r="I51" s="1104"/>
      <c r="J51" s="1104"/>
      <c r="K51" s="1104"/>
      <c r="L51" s="1104"/>
      <c r="M51" s="1316"/>
      <c r="N51" s="1316"/>
      <c r="O51" s="1316"/>
      <c r="P51" s="1316"/>
      <c r="Q51" s="1316"/>
      <c r="R51" s="1316"/>
      <c r="S51" s="1316"/>
    </row>
    <row r="52" spans="1:19" ht="15">
      <c r="A52" s="1115"/>
      <c r="B52" s="1116"/>
      <c r="C52" s="1116"/>
      <c r="D52" s="1117"/>
      <c r="E52" s="763"/>
      <c r="F52" s="763"/>
      <c r="G52" s="764"/>
      <c r="H52" s="763"/>
      <c r="I52" s="763"/>
      <c r="J52" s="763"/>
      <c r="K52" s="763"/>
      <c r="L52" s="763"/>
      <c r="M52" s="763"/>
      <c r="N52" s="763"/>
      <c r="O52" s="1118"/>
      <c r="P52" s="763"/>
      <c r="Q52" s="763"/>
      <c r="R52" s="763"/>
      <c r="S52" s="763"/>
    </row>
    <row r="53" spans="1:19" ht="15" customHeight="1">
      <c r="A53" s="1317"/>
      <c r="B53" s="1317"/>
      <c r="C53" s="1317"/>
      <c r="D53" s="1317"/>
      <c r="E53" s="1317"/>
      <c r="F53" s="1317"/>
      <c r="G53" s="1317"/>
      <c r="H53" s="1317"/>
      <c r="I53" s="1317"/>
      <c r="J53" s="1317"/>
      <c r="K53" s="1317"/>
      <c r="L53" s="1317"/>
      <c r="M53" s="1317"/>
      <c r="N53" s="1317"/>
      <c r="O53" s="763"/>
      <c r="P53" s="763"/>
      <c r="Q53" s="763"/>
      <c r="R53" s="763"/>
      <c r="S53" s="763"/>
    </row>
    <row r="54" spans="1:19" ht="15">
      <c r="A54" s="1317"/>
      <c r="B54" s="1317"/>
      <c r="C54" s="1317"/>
      <c r="D54" s="1317"/>
      <c r="E54" s="1317"/>
      <c r="F54" s="1317"/>
      <c r="G54" s="1317"/>
      <c r="H54" s="1317"/>
      <c r="I54" s="1317"/>
      <c r="J54" s="1317"/>
      <c r="K54" s="1317"/>
      <c r="L54" s="1317"/>
      <c r="M54" s="1317"/>
      <c r="N54" s="1317"/>
      <c r="O54" s="763"/>
      <c r="P54" s="763"/>
      <c r="Q54" s="763"/>
      <c r="R54" s="763"/>
      <c r="S54" s="763"/>
    </row>
    <row r="55" spans="1:19" ht="15" customHeight="1">
      <c r="A55" s="1318"/>
      <c r="B55" s="1318"/>
      <c r="C55" s="1318"/>
      <c r="D55" s="1318"/>
      <c r="E55" s="1318"/>
      <c r="F55" s="1318"/>
      <c r="G55" s="1318"/>
      <c r="H55" s="1318"/>
      <c r="I55" s="1318"/>
      <c r="J55" s="1318"/>
      <c r="K55" s="1318"/>
      <c r="L55" s="1318"/>
      <c r="M55" s="1318"/>
      <c r="N55" s="1318"/>
      <c r="O55" s="763"/>
      <c r="P55" s="763"/>
      <c r="Q55" s="763"/>
      <c r="R55" s="763"/>
      <c r="S55" s="763"/>
    </row>
    <row r="56" spans="1:19" ht="15">
      <c r="A56" s="1318"/>
      <c r="B56" s="1318"/>
      <c r="C56" s="1318"/>
      <c r="D56" s="1318"/>
      <c r="E56" s="1318"/>
      <c r="F56" s="1318"/>
      <c r="G56" s="1318"/>
      <c r="H56" s="1318"/>
      <c r="I56" s="1318"/>
      <c r="J56" s="1318"/>
      <c r="K56" s="1318"/>
      <c r="L56" s="1318"/>
      <c r="M56" s="1318"/>
      <c r="N56" s="1318"/>
      <c r="O56" s="763"/>
      <c r="P56" s="763"/>
      <c r="Q56" s="763"/>
      <c r="R56" s="763"/>
      <c r="S56" s="763"/>
    </row>
  </sheetData>
  <mergeCells count="16">
    <mergeCell ref="A8:O8"/>
    <mergeCell ref="A3:O3"/>
    <mergeCell ref="A4:O4"/>
    <mergeCell ref="A5:O5"/>
    <mergeCell ref="A6:O6"/>
    <mergeCell ref="A7:O7"/>
    <mergeCell ref="A42:D46"/>
    <mergeCell ref="M49:S51"/>
    <mergeCell ref="A53:N54"/>
    <mergeCell ref="A55:N56"/>
    <mergeCell ref="A9:O9"/>
    <mergeCell ref="A10:O10"/>
    <mergeCell ref="C12:E12"/>
    <mergeCell ref="G12:I12"/>
    <mergeCell ref="K12:M12"/>
    <mergeCell ref="O12:Q12"/>
  </mergeCells>
  <conditionalFormatting sqref="A3 A4:S9 A10 P10:S10 A40:N45 O40:S56">
    <cfRule type="cellIs" dxfId="12" priority="20" stopIfTrue="1" operator="lessThan">
      <formula>0</formula>
    </cfRule>
  </conditionalFormatting>
  <conditionalFormatting sqref="A46:G46 M46:N50 A47:F49 A50:E51 A53">
    <cfRule type="cellIs" dxfId="11" priority="18" stopIfTrue="1" operator="lessThan">
      <formula>0</formula>
    </cfRule>
  </conditionalFormatting>
  <conditionalFormatting sqref="A12:S39">
    <cfRule type="cellIs" dxfId="10" priority="3" stopIfTrue="1" operator="lessThan">
      <formula>0</formula>
    </cfRule>
  </conditionalFormatting>
  <conditionalFormatting sqref="F50:G50">
    <cfRule type="cellIs" dxfId="9" priority="2" stopIfTrue="1" operator="lessThan">
      <formula>0</formula>
    </cfRule>
  </conditionalFormatting>
  <conditionalFormatting sqref="G46">
    <cfRule type="colorScale" priority="17">
      <colorScale>
        <cfvo type="min"/>
        <cfvo type="percentile" val="50"/>
        <cfvo type="max"/>
        <color rgb="FF5A8AC6"/>
        <color rgb="FFFCFCFF"/>
        <color rgb="FFF8696B"/>
      </colorScale>
    </cfRule>
  </conditionalFormatting>
  <conditionalFormatting sqref="G47">
    <cfRule type="colorScale" priority="15">
      <colorScale>
        <cfvo type="min"/>
        <cfvo type="percentile" val="50"/>
        <cfvo type="max"/>
        <color rgb="FF5A8AC6"/>
        <color rgb="FFFCFCFF"/>
        <color rgb="FFF8696B"/>
      </colorScale>
    </cfRule>
    <cfRule type="cellIs" dxfId="8" priority="16" stopIfTrue="1" operator="lessThan">
      <formula>0</formula>
    </cfRule>
  </conditionalFormatting>
  <conditionalFormatting sqref="G48">
    <cfRule type="colorScale" priority="13">
      <colorScale>
        <cfvo type="min"/>
        <cfvo type="percentile" val="50"/>
        <cfvo type="max"/>
        <color rgb="FF5A8AC6"/>
        <color rgb="FFFCFCFF"/>
        <color rgb="FFF8696B"/>
      </colorScale>
    </cfRule>
    <cfRule type="cellIs" dxfId="7" priority="14" stopIfTrue="1" operator="lessThan">
      <formula>0</formula>
    </cfRule>
  </conditionalFormatting>
  <conditionalFormatting sqref="G49">
    <cfRule type="colorScale" priority="11">
      <colorScale>
        <cfvo type="min"/>
        <cfvo type="percentile" val="50"/>
        <cfvo type="max"/>
        <color rgb="FF5A8AC6"/>
        <color rgb="FFFCFCFF"/>
        <color rgb="FFF8696B"/>
      </colorScale>
    </cfRule>
    <cfRule type="cellIs" dxfId="6" priority="12" stopIfTrue="1" operator="lessThan">
      <formula>0</formula>
    </cfRule>
  </conditionalFormatting>
  <conditionalFormatting sqref="G50">
    <cfRule type="colorScale" priority="1">
      <colorScale>
        <cfvo type="min"/>
        <cfvo type="percentile" val="50"/>
        <cfvo type="max"/>
        <color rgb="FF5A8AC6"/>
        <color rgb="FFFCFCFF"/>
        <color rgb="FFF8696B"/>
      </colorScale>
    </cfRule>
  </conditionalFormatting>
  <conditionalFormatting sqref="L51:N51 A52:N52">
    <cfRule type="cellIs" dxfId="5" priority="19" stopIfTrue="1" operator="lessThan">
      <formula>0</formula>
    </cfRule>
  </conditionalFormatting>
  <printOptions horizontalCentered="1"/>
  <pageMargins left="0.55000000000000004" right="0.55000000000000004" top="1.25" bottom="0.75" header="0.75" footer="0.27"/>
  <pageSetup scale="46" orientation="landscape" r:id="rId1"/>
  <headerFooter alignWithMargins="0">
    <oddHeader>&amp;RFormula Rate 
&amp;A
Page &amp;P of &amp;N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CEA0A-C249-4284-BEB8-A3DE80002B70}">
  <dimension ref="A1:K58"/>
  <sheetViews>
    <sheetView view="pageBreakPreview" topLeftCell="A17" zoomScale="60" zoomScaleNormal="70" workbookViewId="0">
      <selection activeCell="A2" sqref="A2"/>
    </sheetView>
  </sheetViews>
  <sheetFormatPr defaultColWidth="9.140625" defaultRowHeight="12.75"/>
  <cols>
    <col min="1" max="1" width="34.28515625" style="1119" customWidth="1"/>
    <col min="2" max="2" width="9.140625" style="1119"/>
    <col min="3" max="3" width="11.85546875" style="1119" customWidth="1"/>
    <col min="4" max="4" width="18.28515625" style="1119" customWidth="1"/>
    <col min="5" max="5" width="12.5703125" style="1119" customWidth="1"/>
    <col min="6" max="6" width="9.140625" style="1119"/>
    <col min="7" max="7" width="12.140625" style="1119" customWidth="1"/>
    <col min="8" max="8" width="18.85546875" style="1119" customWidth="1"/>
    <col min="9" max="9" width="15.5703125" style="1119" bestFit="1" customWidth="1"/>
    <col min="10" max="16384" width="9.140625" style="1119"/>
  </cols>
  <sheetData>
    <row r="1" spans="1:11" s="763" customFormat="1" ht="15.75">
      <c r="A1" s="1059" t="s">
        <v>114</v>
      </c>
      <c r="G1" s="764"/>
    </row>
    <row r="2" spans="1:11" s="763" customFormat="1" ht="15.75">
      <c r="A2" s="1059" t="s">
        <v>114</v>
      </c>
      <c r="G2" s="764"/>
    </row>
    <row r="3" spans="1:11" ht="19.5">
      <c r="A3" s="1322" t="s">
        <v>391</v>
      </c>
      <c r="B3" s="1322"/>
      <c r="C3" s="1322"/>
      <c r="D3" s="1322"/>
      <c r="E3" s="1322"/>
      <c r="F3" s="1322"/>
      <c r="G3" s="1322"/>
      <c r="H3" s="1322"/>
      <c r="I3" s="1322"/>
      <c r="J3" s="1322"/>
      <c r="K3" s="1322"/>
    </row>
    <row r="4" spans="1:11" ht="19.5">
      <c r="A4" s="1322" t="s">
        <v>392</v>
      </c>
      <c r="B4" s="1322"/>
      <c r="C4" s="1322"/>
      <c r="D4" s="1322"/>
      <c r="E4" s="1322"/>
      <c r="F4" s="1322"/>
      <c r="G4" s="1322"/>
      <c r="H4" s="1322"/>
      <c r="I4" s="1322"/>
      <c r="J4" s="1322"/>
      <c r="K4" s="1322"/>
    </row>
    <row r="5" spans="1:11" ht="19.5">
      <c r="A5" s="1322" t="s">
        <v>393</v>
      </c>
      <c r="B5" s="1322"/>
      <c r="C5" s="1322"/>
      <c r="D5" s="1322"/>
      <c r="E5" s="1322"/>
      <c r="F5" s="1322"/>
      <c r="G5" s="1322"/>
      <c r="H5" s="1322"/>
      <c r="I5" s="1322"/>
      <c r="J5" s="1322"/>
      <c r="K5" s="1322"/>
    </row>
    <row r="6" spans="1:11" ht="19.5">
      <c r="A6" s="1322" t="s">
        <v>394</v>
      </c>
      <c r="B6" s="1322"/>
      <c r="C6" s="1322"/>
      <c r="D6" s="1322"/>
      <c r="E6" s="1322"/>
      <c r="F6" s="1322"/>
      <c r="G6" s="1322"/>
      <c r="H6" s="1322"/>
      <c r="I6" s="1322"/>
      <c r="J6" s="1322"/>
      <c r="K6" s="1322"/>
    </row>
    <row r="7" spans="1:11" ht="19.5">
      <c r="A7" s="1322" t="s">
        <v>1181</v>
      </c>
      <c r="B7" s="1322"/>
      <c r="C7" s="1322"/>
      <c r="D7" s="1322"/>
      <c r="E7" s="1322"/>
      <c r="F7" s="1322"/>
      <c r="G7" s="1322"/>
      <c r="H7" s="1322"/>
      <c r="I7" s="1322"/>
      <c r="J7" s="1322"/>
      <c r="K7" s="1322"/>
    </row>
    <row r="8" spans="1:11" ht="19.5">
      <c r="A8" s="1322" t="s">
        <v>395</v>
      </c>
      <c r="B8" s="1322"/>
      <c r="C8" s="1322"/>
      <c r="D8" s="1322"/>
      <c r="E8" s="1322"/>
      <c r="F8" s="1322"/>
      <c r="G8" s="1322"/>
      <c r="H8" s="1322"/>
      <c r="I8" s="1322"/>
      <c r="J8" s="1322"/>
      <c r="K8" s="1322"/>
    </row>
    <row r="9" spans="1:11" ht="19.5">
      <c r="A9" s="1322" t="s">
        <v>767</v>
      </c>
      <c r="B9" s="1322"/>
      <c r="C9" s="1322"/>
      <c r="D9" s="1322"/>
      <c r="E9" s="1322"/>
      <c r="F9" s="1322"/>
      <c r="G9" s="1322"/>
      <c r="H9" s="1322"/>
      <c r="I9" s="1322"/>
      <c r="J9" s="1322"/>
      <c r="K9" s="1322"/>
    </row>
    <row r="10" spans="1:11" ht="19.5">
      <c r="A10" s="1328"/>
      <c r="B10" s="1328"/>
      <c r="C10" s="1328"/>
      <c r="D10" s="1328"/>
      <c r="E10" s="1328"/>
      <c r="F10" s="1328"/>
      <c r="G10" s="1328"/>
      <c r="H10" s="1328"/>
      <c r="I10" s="1328"/>
      <c r="J10" s="1328"/>
      <c r="K10" s="1328"/>
    </row>
    <row r="11" spans="1:11" ht="16.5" thickBot="1">
      <c r="A11" s="757"/>
      <c r="B11" s="757"/>
      <c r="C11" s="1321" t="s">
        <v>768</v>
      </c>
      <c r="D11" s="1321"/>
      <c r="E11" s="1321"/>
      <c r="F11" s="757"/>
      <c r="G11" s="1321" t="s">
        <v>1060</v>
      </c>
      <c r="H11" s="1321"/>
      <c r="I11" s="1321"/>
      <c r="J11" s="757"/>
      <c r="K11" s="1057" t="s">
        <v>397</v>
      </c>
    </row>
    <row r="12" spans="1:11" ht="15.75">
      <c r="A12" s="758"/>
      <c r="B12" s="757"/>
      <c r="C12" s="759" t="s">
        <v>121</v>
      </c>
      <c r="D12" s="760"/>
      <c r="E12" s="760"/>
      <c r="F12" s="760"/>
      <c r="G12" s="761" t="s">
        <v>122</v>
      </c>
      <c r="H12" s="762"/>
      <c r="I12" s="762"/>
      <c r="J12" s="762"/>
      <c r="K12" s="762"/>
    </row>
    <row r="13" spans="1:11" ht="15">
      <c r="A13" s="757"/>
      <c r="B13" s="757"/>
      <c r="C13" s="759" t="s">
        <v>114</v>
      </c>
      <c r="D13" s="760"/>
      <c r="E13" s="759" t="s">
        <v>398</v>
      </c>
      <c r="F13" s="760"/>
      <c r="G13" s="761" t="s">
        <v>769</v>
      </c>
      <c r="H13" s="760"/>
      <c r="I13" s="759" t="s">
        <v>398</v>
      </c>
      <c r="J13" s="760"/>
      <c r="K13" s="759" t="s">
        <v>398</v>
      </c>
    </row>
    <row r="14" spans="1:11" ht="15">
      <c r="A14" s="757"/>
      <c r="B14" s="759" t="s">
        <v>399</v>
      </c>
      <c r="C14" s="759" t="s">
        <v>770</v>
      </c>
      <c r="D14" s="759" t="s">
        <v>400</v>
      </c>
      <c r="E14" s="759" t="s">
        <v>401</v>
      </c>
      <c r="F14" s="760"/>
      <c r="G14" s="761" t="s">
        <v>402</v>
      </c>
      <c r="H14" s="759" t="s">
        <v>400</v>
      </c>
      <c r="I14" s="759" t="s">
        <v>401</v>
      </c>
      <c r="J14" s="760"/>
      <c r="K14" s="759" t="s">
        <v>401</v>
      </c>
    </row>
    <row r="15" spans="1:11" ht="15">
      <c r="A15" s="759"/>
      <c r="B15" s="759" t="s">
        <v>403</v>
      </c>
      <c r="C15" s="759" t="s">
        <v>404</v>
      </c>
      <c r="D15" s="759" t="s">
        <v>771</v>
      </c>
      <c r="E15" s="759" t="s">
        <v>405</v>
      </c>
      <c r="F15" s="760"/>
      <c r="G15" s="761" t="s">
        <v>404</v>
      </c>
      <c r="H15" s="759" t="s">
        <v>771</v>
      </c>
      <c r="I15" s="759" t="s">
        <v>405</v>
      </c>
      <c r="J15" s="760"/>
      <c r="K15" s="759" t="s">
        <v>405</v>
      </c>
    </row>
    <row r="16" spans="1:11" ht="15">
      <c r="A16" s="763"/>
      <c r="B16" s="763"/>
      <c r="C16" s="763"/>
      <c r="D16" s="763"/>
      <c r="E16" s="763"/>
      <c r="F16" s="763"/>
      <c r="G16" s="764"/>
      <c r="H16" s="763"/>
      <c r="I16" s="763"/>
      <c r="J16" s="763"/>
      <c r="K16" s="763"/>
    </row>
    <row r="17" spans="1:11" ht="15.75" thickBot="1">
      <c r="A17" s="765"/>
      <c r="B17" s="757"/>
      <c r="C17" s="1068"/>
      <c r="D17" s="757"/>
      <c r="E17" s="757"/>
      <c r="F17" s="757"/>
      <c r="G17" s="766"/>
      <c r="H17" s="757"/>
      <c r="I17" s="757"/>
      <c r="J17" s="757"/>
      <c r="K17" s="757"/>
    </row>
    <row r="18" spans="1:11" ht="15">
      <c r="A18" s="767" t="s">
        <v>406</v>
      </c>
      <c r="B18" s="768"/>
      <c r="C18" s="1120"/>
      <c r="D18" s="1121"/>
      <c r="E18" s="1122"/>
      <c r="F18" s="768"/>
      <c r="G18" s="1122"/>
      <c r="H18" s="1123"/>
      <c r="I18" s="1122"/>
      <c r="J18" s="768"/>
      <c r="K18" s="1122"/>
    </row>
    <row r="19" spans="1:11" ht="15">
      <c r="A19" s="763" t="s">
        <v>772</v>
      </c>
      <c r="B19" s="1124">
        <v>350.1</v>
      </c>
      <c r="C19" s="1125">
        <v>1.77E-2</v>
      </c>
      <c r="D19" s="1126">
        <v>0.71390960000000003</v>
      </c>
      <c r="E19" s="1127">
        <v>1.2636E-2</v>
      </c>
      <c r="F19" s="1128"/>
      <c r="G19" s="1125">
        <v>1.7500000000000002E-2</v>
      </c>
      <c r="H19" s="1126">
        <v>0.28609040000000002</v>
      </c>
      <c r="I19" s="1127">
        <v>5.0070000000000002E-3</v>
      </c>
      <c r="J19" s="1128"/>
      <c r="K19" s="1125">
        <v>1.7600000000000001E-2</v>
      </c>
    </row>
    <row r="20" spans="1:11" ht="15">
      <c r="A20" s="763" t="s">
        <v>407</v>
      </c>
      <c r="B20" s="1124">
        <v>352</v>
      </c>
      <c r="C20" s="1125">
        <v>1.8599999999999998E-2</v>
      </c>
      <c r="D20" s="1126">
        <v>0.71390960000000003</v>
      </c>
      <c r="E20" s="1127">
        <v>1.3278999999999999E-2</v>
      </c>
      <c r="F20" s="1128"/>
      <c r="G20" s="1125">
        <v>1.8499999999999999E-2</v>
      </c>
      <c r="H20" s="1126">
        <v>0.28609040000000002</v>
      </c>
      <c r="I20" s="1127">
        <v>5.293E-3</v>
      </c>
      <c r="J20" s="1128"/>
      <c r="K20" s="1125">
        <v>1.8599999999999998E-2</v>
      </c>
    </row>
    <row r="21" spans="1:11" ht="15">
      <c r="A21" s="763" t="s">
        <v>408</v>
      </c>
      <c r="B21" s="1124">
        <v>353</v>
      </c>
      <c r="C21" s="1125">
        <v>2.7199999999999998E-2</v>
      </c>
      <c r="D21" s="1126">
        <v>0.71390960000000003</v>
      </c>
      <c r="E21" s="1127">
        <v>1.9418000000000001E-2</v>
      </c>
      <c r="F21" s="1128"/>
      <c r="G21" s="1125">
        <v>2.69E-2</v>
      </c>
      <c r="H21" s="1126">
        <v>0.28609040000000002</v>
      </c>
      <c r="I21" s="1127">
        <v>7.6959999999999997E-3</v>
      </c>
      <c r="J21" s="1128"/>
      <c r="K21" s="1125">
        <v>2.7099999999999999E-2</v>
      </c>
    </row>
    <row r="22" spans="1:11" ht="15">
      <c r="A22" s="763" t="s">
        <v>409</v>
      </c>
      <c r="B22" s="1124">
        <v>354</v>
      </c>
      <c r="C22" s="1125">
        <v>2.8199999999999999E-2</v>
      </c>
      <c r="D22" s="1126">
        <v>0.71390960000000003</v>
      </c>
      <c r="E22" s="1127">
        <v>2.0132000000000001E-2</v>
      </c>
      <c r="F22" s="1128"/>
      <c r="G22" s="1125">
        <v>2.7300000000000001E-2</v>
      </c>
      <c r="H22" s="1126">
        <v>0.28609040000000002</v>
      </c>
      <c r="I22" s="1127">
        <v>7.8100000000000001E-3</v>
      </c>
      <c r="J22" s="1128"/>
      <c r="K22" s="1125">
        <v>2.7900000000000001E-2</v>
      </c>
    </row>
    <row r="23" spans="1:11" ht="15">
      <c r="A23" s="763" t="s">
        <v>410</v>
      </c>
      <c r="B23" s="1124">
        <v>355</v>
      </c>
      <c r="C23" s="1125">
        <v>3.3500000000000002E-2</v>
      </c>
      <c r="D23" s="1126">
        <v>0.71390960000000003</v>
      </c>
      <c r="E23" s="1127">
        <v>2.3916E-2</v>
      </c>
      <c r="F23" s="1128"/>
      <c r="G23" s="1125">
        <v>3.3399999999999999E-2</v>
      </c>
      <c r="H23" s="1126">
        <v>0.28609040000000002</v>
      </c>
      <c r="I23" s="1127">
        <v>9.5549999999999993E-3</v>
      </c>
      <c r="J23" s="1128"/>
      <c r="K23" s="1125">
        <v>3.3500000000000002E-2</v>
      </c>
    </row>
    <row r="24" spans="1:11" ht="15">
      <c r="A24" s="763" t="s">
        <v>773</v>
      </c>
      <c r="B24" s="1124">
        <v>356</v>
      </c>
      <c r="C24" s="1125">
        <v>2.3E-2</v>
      </c>
      <c r="D24" s="1126">
        <v>0.71390960000000003</v>
      </c>
      <c r="E24" s="1127">
        <v>1.6420000000000001E-2</v>
      </c>
      <c r="F24" s="1128"/>
      <c r="G24" s="1125">
        <v>2.2599999999999999E-2</v>
      </c>
      <c r="H24" s="1126">
        <v>0.28609040000000002</v>
      </c>
      <c r="I24" s="1127">
        <v>6.4660000000000004E-3</v>
      </c>
      <c r="J24" s="1128"/>
      <c r="K24" s="1125">
        <v>2.29E-2</v>
      </c>
    </row>
    <row r="25" spans="1:11" ht="15">
      <c r="A25" s="763" t="s">
        <v>411</v>
      </c>
      <c r="B25" s="1124">
        <v>357</v>
      </c>
      <c r="C25" s="1125">
        <v>1.8800000000000001E-2</v>
      </c>
      <c r="D25" s="1126">
        <v>0.71390960000000003</v>
      </c>
      <c r="E25" s="1127">
        <v>1.3422E-2</v>
      </c>
      <c r="F25" s="1128"/>
      <c r="G25" s="1125">
        <v>1.8800000000000001E-2</v>
      </c>
      <c r="H25" s="1126">
        <v>0.28609040000000002</v>
      </c>
      <c r="I25" s="1127">
        <v>5.378E-3</v>
      </c>
      <c r="J25" s="1128"/>
      <c r="K25" s="1125">
        <v>1.8800000000000001E-2</v>
      </c>
    </row>
    <row r="26" spans="1:11" ht="15">
      <c r="A26" s="763" t="s">
        <v>412</v>
      </c>
      <c r="B26" s="1124">
        <v>358</v>
      </c>
      <c r="C26" s="1125">
        <v>2.1399999999999999E-2</v>
      </c>
      <c r="D26" s="1126">
        <v>0.71390960000000003</v>
      </c>
      <c r="E26" s="1127">
        <v>1.5278E-2</v>
      </c>
      <c r="F26" s="1128"/>
      <c r="G26" s="1125">
        <v>2.1299999999999999E-2</v>
      </c>
      <c r="H26" s="1126">
        <v>0.28609040000000002</v>
      </c>
      <c r="I26" s="1127">
        <v>6.0939999999999996E-3</v>
      </c>
      <c r="J26" s="1128"/>
      <c r="K26" s="1125">
        <v>2.1399999999999999E-2</v>
      </c>
    </row>
    <row r="27" spans="1:11" ht="15">
      <c r="A27" s="763" t="s">
        <v>774</v>
      </c>
      <c r="B27" s="1124">
        <v>359</v>
      </c>
      <c r="C27" s="1125">
        <v>1.7000000000000001E-2</v>
      </c>
      <c r="D27" s="1126">
        <v>0.71390960000000003</v>
      </c>
      <c r="E27" s="1127">
        <v>1.2135999999999999E-2</v>
      </c>
      <c r="F27" s="1128"/>
      <c r="G27" s="1125">
        <v>1.6799999999999999E-2</v>
      </c>
      <c r="H27" s="1126">
        <v>0.28609040000000002</v>
      </c>
      <c r="I27" s="1127">
        <v>4.8060000000000004E-3</v>
      </c>
      <c r="J27" s="1128"/>
      <c r="K27" s="1125">
        <v>1.6899999999999998E-2</v>
      </c>
    </row>
    <row r="28" spans="1:11" ht="15">
      <c r="A28" s="763"/>
      <c r="B28" s="763"/>
      <c r="C28" s="763"/>
      <c r="D28" s="763"/>
      <c r="E28" s="763"/>
      <c r="F28" s="763"/>
      <c r="G28" s="763"/>
      <c r="H28" s="763"/>
      <c r="I28" s="763"/>
      <c r="J28" s="763"/>
      <c r="K28" s="763"/>
    </row>
    <row r="29" spans="1:11" ht="15.75" thickBot="1">
      <c r="A29" s="763"/>
      <c r="B29" s="763"/>
      <c r="C29" s="763"/>
      <c r="D29" s="763"/>
      <c r="E29" s="763"/>
      <c r="F29" s="763"/>
      <c r="G29" s="763"/>
      <c r="H29" s="763"/>
      <c r="I29" s="763"/>
      <c r="J29" s="763"/>
      <c r="K29" s="763"/>
    </row>
    <row r="30" spans="1:11" ht="15">
      <c r="A30" s="1129" t="s">
        <v>964</v>
      </c>
      <c r="B30" s="1130"/>
      <c r="C30" s="1131"/>
      <c r="D30" s="1132"/>
      <c r="E30" s="1133"/>
      <c r="F30" s="1130"/>
      <c r="G30" s="1134"/>
      <c r="H30" s="1132"/>
      <c r="I30" s="1133"/>
      <c r="J30" s="1130"/>
      <c r="K30" s="763"/>
    </row>
    <row r="31" spans="1:11" ht="15">
      <c r="A31" s="1135"/>
      <c r="B31" s="1136">
        <v>390</v>
      </c>
      <c r="C31" s="1137">
        <v>2.4500000000000001E-2</v>
      </c>
      <c r="D31" s="1138">
        <v>0.72727090000000005</v>
      </c>
      <c r="E31" s="1139">
        <v>1.7818000000000001E-2</v>
      </c>
      <c r="F31" s="1140"/>
      <c r="G31" s="1137">
        <v>2.46E-2</v>
      </c>
      <c r="H31" s="1138">
        <v>0.2727291</v>
      </c>
      <c r="I31" s="1139">
        <v>6.7089999999999997E-3</v>
      </c>
      <c r="J31" s="1140"/>
      <c r="K31" s="1137">
        <v>2.4500000000000001E-2</v>
      </c>
    </row>
    <row r="32" spans="1:11" ht="15">
      <c r="A32" s="1135"/>
      <c r="B32" s="1136">
        <v>391</v>
      </c>
      <c r="C32" s="1137">
        <v>5.5599999999999997E-2</v>
      </c>
      <c r="D32" s="1138">
        <v>0.72727090000000005</v>
      </c>
      <c r="E32" s="1139">
        <v>4.0436E-2</v>
      </c>
      <c r="F32" s="1140"/>
      <c r="G32" s="1137">
        <v>5.6500000000000002E-2</v>
      </c>
      <c r="H32" s="1138">
        <v>0.2727291</v>
      </c>
      <c r="I32" s="1139">
        <v>1.5409000000000001E-2</v>
      </c>
      <c r="J32" s="1140"/>
      <c r="K32" s="1137">
        <v>5.5800000000000002E-2</v>
      </c>
    </row>
    <row r="33" spans="1:11" ht="15">
      <c r="A33" s="1141" t="s">
        <v>1061</v>
      </c>
      <c r="B33" s="1136">
        <v>392</v>
      </c>
      <c r="C33" s="1137">
        <v>5.0999999999999997E-2</v>
      </c>
      <c r="D33" s="1138">
        <v>0.72727090000000005</v>
      </c>
      <c r="E33" s="1139">
        <v>3.7090999999999999E-2</v>
      </c>
      <c r="F33" s="1140"/>
      <c r="G33" s="1137">
        <v>5.0999999999999997E-2</v>
      </c>
      <c r="H33" s="1138">
        <v>0.2727291</v>
      </c>
      <c r="I33" s="1139">
        <v>1.3908999999999999E-2</v>
      </c>
      <c r="J33" s="1140"/>
      <c r="K33" s="1137">
        <v>5.0999999999999997E-2</v>
      </c>
    </row>
    <row r="34" spans="1:11" ht="15">
      <c r="A34" s="1135"/>
      <c r="B34" s="1136">
        <v>393</v>
      </c>
      <c r="C34" s="1137">
        <v>7.9299999999999995E-2</v>
      </c>
      <c r="D34" s="1138">
        <v>0.72727090000000005</v>
      </c>
      <c r="E34" s="1139">
        <v>5.7673000000000002E-2</v>
      </c>
      <c r="F34" s="1140"/>
      <c r="G34" s="1137">
        <v>0.08</v>
      </c>
      <c r="H34" s="1138">
        <v>0.2727291</v>
      </c>
      <c r="I34" s="1139">
        <v>2.1818000000000001E-2</v>
      </c>
      <c r="J34" s="1140"/>
      <c r="K34" s="1137">
        <v>7.9500000000000001E-2</v>
      </c>
    </row>
    <row r="35" spans="1:11" ht="15">
      <c r="A35" s="1135"/>
      <c r="B35" s="1136">
        <v>394</v>
      </c>
      <c r="C35" s="1137">
        <v>7.4499999999999997E-2</v>
      </c>
      <c r="D35" s="1138">
        <v>0.72727090000000005</v>
      </c>
      <c r="E35" s="1139">
        <v>5.4182000000000001E-2</v>
      </c>
      <c r="F35" s="1140"/>
      <c r="G35" s="1137">
        <v>7.5499999999999998E-2</v>
      </c>
      <c r="H35" s="1138">
        <v>0.2727291</v>
      </c>
      <c r="I35" s="1139">
        <v>2.0591000000000002E-2</v>
      </c>
      <c r="J35" s="1140"/>
      <c r="K35" s="1137">
        <v>7.4800000000000005E-2</v>
      </c>
    </row>
    <row r="36" spans="1:11" ht="15">
      <c r="A36" s="1135"/>
      <c r="B36" s="1136">
        <v>395</v>
      </c>
      <c r="C36" s="1137">
        <v>5.91E-2</v>
      </c>
      <c r="D36" s="1138">
        <v>0.72727090000000005</v>
      </c>
      <c r="E36" s="1139">
        <v>4.2981999999999999E-2</v>
      </c>
      <c r="F36" s="1140"/>
      <c r="G36" s="1137">
        <v>5.9900000000000002E-2</v>
      </c>
      <c r="H36" s="1138">
        <v>0.2727291</v>
      </c>
      <c r="I36" s="1139">
        <v>1.6336E-2</v>
      </c>
      <c r="J36" s="1140"/>
      <c r="K36" s="1137">
        <v>5.9299999999999999E-2</v>
      </c>
    </row>
    <row r="37" spans="1:11" ht="15">
      <c r="A37" s="1135"/>
      <c r="B37" s="1136">
        <v>396</v>
      </c>
      <c r="C37" s="1137">
        <v>6.8500000000000005E-2</v>
      </c>
      <c r="D37" s="1138">
        <v>0.72727090000000005</v>
      </c>
      <c r="E37" s="1139">
        <v>4.9818000000000001E-2</v>
      </c>
      <c r="F37" s="1140"/>
      <c r="G37" s="1137">
        <v>7.0800000000000002E-2</v>
      </c>
      <c r="H37" s="1138">
        <v>0.2727291</v>
      </c>
      <c r="I37" s="1139">
        <v>1.9309E-2</v>
      </c>
      <c r="J37" s="1140"/>
      <c r="K37" s="1137">
        <v>6.9099999999999995E-2</v>
      </c>
    </row>
    <row r="38" spans="1:11" ht="15">
      <c r="A38" s="1135"/>
      <c r="B38" s="1136">
        <v>397</v>
      </c>
      <c r="C38" s="1137">
        <v>4.2799999999999998E-2</v>
      </c>
      <c r="D38" s="1138">
        <v>0.72727090000000005</v>
      </c>
      <c r="E38" s="1139">
        <v>3.1126999999999998E-2</v>
      </c>
      <c r="F38" s="1140"/>
      <c r="G38" s="1137">
        <v>4.3099999999999999E-2</v>
      </c>
      <c r="H38" s="1138">
        <v>0.2727291</v>
      </c>
      <c r="I38" s="1139">
        <v>1.1755E-2</v>
      </c>
      <c r="J38" s="1140"/>
      <c r="K38" s="1137">
        <v>4.2900000000000001E-2</v>
      </c>
    </row>
    <row r="39" spans="1:11" ht="15">
      <c r="A39" s="1135"/>
      <c r="B39" s="1136">
        <v>398</v>
      </c>
      <c r="C39" s="1137">
        <v>3.6999999999999998E-2</v>
      </c>
      <c r="D39" s="1138">
        <v>0.72727090000000005</v>
      </c>
      <c r="E39" s="1139">
        <v>2.6908999999999999E-2</v>
      </c>
      <c r="F39" s="1140"/>
      <c r="G39" s="1137">
        <v>3.7400000000000003E-2</v>
      </c>
      <c r="H39" s="1138">
        <v>0.2727291</v>
      </c>
      <c r="I39" s="1139">
        <v>1.0200000000000001E-2</v>
      </c>
      <c r="J39" s="1140"/>
      <c r="K39" s="1137">
        <v>3.7100000000000001E-2</v>
      </c>
    </row>
    <row r="40" spans="1:11" ht="15.75" thickBot="1">
      <c r="A40" s="1099"/>
      <c r="B40" s="1100"/>
      <c r="C40" s="1101"/>
      <c r="D40" s="1102"/>
      <c r="E40" s="1103"/>
      <c r="F40" s="1100"/>
      <c r="G40" s="1103"/>
      <c r="H40" s="1102"/>
      <c r="I40" s="1103"/>
      <c r="J40" s="1100"/>
      <c r="K40" s="763"/>
    </row>
    <row r="41" spans="1:11" ht="15">
      <c r="A41" s="763"/>
      <c r="B41" s="763"/>
      <c r="C41" s="763"/>
      <c r="D41" s="763"/>
      <c r="E41" s="763"/>
      <c r="F41" s="763"/>
      <c r="G41" s="763"/>
      <c r="H41" s="763"/>
      <c r="I41" s="763"/>
      <c r="J41" s="763"/>
      <c r="K41" s="763"/>
    </row>
    <row r="42" spans="1:11" ht="15">
      <c r="A42" s="763"/>
      <c r="B42" s="763"/>
      <c r="C42" s="763"/>
      <c r="D42" s="763"/>
      <c r="E42" s="763"/>
      <c r="F42" s="763"/>
      <c r="G42" s="763"/>
      <c r="H42" s="763"/>
      <c r="I42" s="763"/>
      <c r="J42" s="763"/>
      <c r="K42" s="763"/>
    </row>
    <row r="43" spans="1:11" ht="15">
      <c r="A43" s="763"/>
      <c r="B43" s="757"/>
      <c r="C43" s="1068"/>
      <c r="D43" s="763"/>
      <c r="E43" s="763"/>
      <c r="F43" s="763"/>
      <c r="G43" s="764"/>
      <c r="H43" s="763"/>
      <c r="I43" s="763"/>
      <c r="J43" s="763"/>
      <c r="K43" s="763"/>
    </row>
    <row r="44" spans="1:11" ht="15.75">
      <c r="A44" s="1329" t="s">
        <v>1182</v>
      </c>
      <c r="B44" s="1329"/>
      <c r="C44" s="1329"/>
      <c r="D44" s="1329"/>
      <c r="E44" s="1329"/>
      <c r="F44" s="1329"/>
      <c r="G44" s="1329"/>
      <c r="H44" s="1329"/>
      <c r="I44" s="1329"/>
      <c r="J44" s="1329"/>
      <c r="K44" s="1329"/>
    </row>
    <row r="45" spans="1:11" ht="78" customHeight="1">
      <c r="A45" s="1327" t="s">
        <v>1183</v>
      </c>
      <c r="B45" s="1327"/>
      <c r="C45" s="1327"/>
      <c r="D45" s="1327"/>
      <c r="E45" s="1327"/>
      <c r="F45" s="1327"/>
      <c r="G45" s="1327"/>
      <c r="H45" s="1327"/>
      <c r="I45" s="1327"/>
      <c r="J45" s="1327"/>
      <c r="K45" s="1327"/>
    </row>
    <row r="46" spans="1:11" ht="72" customHeight="1">
      <c r="A46" s="1323" t="s">
        <v>1184</v>
      </c>
      <c r="B46" s="1323"/>
      <c r="C46" s="1323"/>
      <c r="D46" s="1323"/>
      <c r="E46" s="1323"/>
      <c r="F46" s="1323"/>
      <c r="G46" s="1323"/>
      <c r="H46" s="1323"/>
      <c r="I46" s="1323"/>
      <c r="J46" s="1323"/>
      <c r="K46" s="1323"/>
    </row>
    <row r="47" spans="1:11" ht="68.25" customHeight="1">
      <c r="A47" s="1324" t="s">
        <v>1185</v>
      </c>
      <c r="B47" s="1324"/>
      <c r="C47" s="1324"/>
      <c r="D47" s="1324"/>
      <c r="E47" s="1324"/>
      <c r="F47" s="1324"/>
      <c r="G47" s="1324"/>
      <c r="H47" s="1324"/>
      <c r="I47" s="1324"/>
      <c r="J47" s="1324"/>
      <c r="K47" s="1324"/>
    </row>
    <row r="48" spans="1:11" ht="15" customHeight="1">
      <c r="A48" s="1325" t="s">
        <v>1186</v>
      </c>
      <c r="B48" s="1325"/>
      <c r="C48" s="1325"/>
      <c r="D48" s="1325"/>
      <c r="E48" s="1325"/>
      <c r="F48" s="1325"/>
      <c r="G48" s="1325"/>
      <c r="H48" s="1325"/>
      <c r="I48" s="1325"/>
      <c r="J48" s="1325"/>
      <c r="K48" s="1325"/>
    </row>
    <row r="49" spans="1:11" ht="18.75" customHeight="1">
      <c r="A49" s="1142"/>
      <c r="B49" s="1142"/>
      <c r="C49" s="1142"/>
      <c r="D49" s="1142"/>
      <c r="E49" s="1142"/>
      <c r="F49" s="1142"/>
      <c r="G49" s="1142"/>
      <c r="H49" s="1142"/>
      <c r="I49" s="1142"/>
      <c r="J49" s="1142"/>
      <c r="K49" s="763"/>
    </row>
    <row r="50" spans="1:11" ht="15.75">
      <c r="A50" s="770" t="s">
        <v>413</v>
      </c>
      <c r="B50" s="757"/>
      <c r="C50" s="1068"/>
      <c r="D50" s="763"/>
      <c r="E50" s="763"/>
      <c r="F50" s="763"/>
      <c r="G50" s="764"/>
      <c r="H50" s="763"/>
      <c r="I50" s="763"/>
      <c r="J50" s="763"/>
      <c r="K50" s="763"/>
    </row>
    <row r="51" spans="1:11" ht="15">
      <c r="A51" s="1115" t="s">
        <v>29</v>
      </c>
      <c r="B51" s="1116"/>
      <c r="C51" s="1116"/>
      <c r="D51" s="1117"/>
      <c r="E51" s="763"/>
      <c r="F51" s="763"/>
      <c r="G51" s="764"/>
      <c r="H51" s="763"/>
      <c r="I51" s="763"/>
      <c r="J51" s="763"/>
      <c r="K51" s="763"/>
    </row>
    <row r="52" spans="1:11" ht="15">
      <c r="A52" s="1317" t="s">
        <v>775</v>
      </c>
      <c r="B52" s="1317"/>
      <c r="C52" s="1317"/>
      <c r="D52" s="1317"/>
      <c r="E52" s="1317"/>
      <c r="F52" s="1317"/>
      <c r="G52" s="1317"/>
      <c r="H52" s="1317"/>
      <c r="I52" s="1317"/>
      <c r="J52" s="1317"/>
      <c r="K52" s="763"/>
    </row>
    <row r="53" spans="1:11" ht="15">
      <c r="A53" s="1317"/>
      <c r="B53" s="1317"/>
      <c r="C53" s="1317"/>
      <c r="D53" s="1317"/>
      <c r="E53" s="1317"/>
      <c r="F53" s="1317"/>
      <c r="G53" s="1317"/>
      <c r="H53" s="1317"/>
      <c r="I53" s="1317"/>
      <c r="J53" s="1317"/>
      <c r="K53" s="763"/>
    </row>
    <row r="54" spans="1:11" ht="15">
      <c r="A54" s="1326" t="s">
        <v>820</v>
      </c>
      <c r="B54" s="1326"/>
      <c r="C54" s="1326"/>
      <c r="D54" s="1326"/>
      <c r="E54" s="1326"/>
      <c r="F54" s="1326"/>
      <c r="G54" s="1326"/>
      <c r="H54" s="1326"/>
      <c r="I54" s="1326"/>
      <c r="J54" s="1326"/>
      <c r="K54" s="763"/>
    </row>
    <row r="55" spans="1:11" ht="15">
      <c r="A55" s="1326"/>
      <c r="B55" s="1326"/>
      <c r="C55" s="1326"/>
      <c r="D55" s="1326"/>
      <c r="E55" s="1326"/>
      <c r="F55" s="1326"/>
      <c r="G55" s="1326"/>
      <c r="H55" s="1326"/>
      <c r="I55" s="1326"/>
      <c r="J55" s="1326"/>
      <c r="K55" s="763"/>
    </row>
    <row r="56" spans="1:11" ht="15">
      <c r="A56" s="763"/>
      <c r="B56" s="763"/>
      <c r="C56" s="763"/>
      <c r="D56" s="763"/>
      <c r="E56" s="763"/>
      <c r="F56" s="763"/>
      <c r="G56" s="764"/>
      <c r="H56" s="763"/>
      <c r="I56" s="763"/>
      <c r="J56" s="763"/>
      <c r="K56" s="763"/>
    </row>
    <row r="57" spans="1:11" ht="15">
      <c r="A57" s="763"/>
      <c r="B57" s="763"/>
      <c r="C57" s="763"/>
      <c r="D57" s="763"/>
      <c r="E57" s="763"/>
      <c r="F57" s="763"/>
      <c r="G57" s="764"/>
      <c r="H57" s="763"/>
      <c r="I57" s="763"/>
      <c r="J57" s="763"/>
      <c r="K57" s="763"/>
    </row>
    <row r="58" spans="1:11" ht="15">
      <c r="A58" s="763"/>
      <c r="B58" s="763"/>
      <c r="C58" s="763"/>
      <c r="D58" s="763"/>
      <c r="E58" s="763"/>
      <c r="F58" s="763"/>
      <c r="G58" s="764"/>
      <c r="H58" s="763"/>
      <c r="I58" s="763"/>
      <c r="J58" s="763"/>
      <c r="K58" s="763"/>
    </row>
  </sheetData>
  <mergeCells count="17">
    <mergeCell ref="A45:K45"/>
    <mergeCell ref="A3:K3"/>
    <mergeCell ref="A4:K4"/>
    <mergeCell ref="A5:K5"/>
    <mergeCell ref="A6:K6"/>
    <mergeCell ref="A7:K7"/>
    <mergeCell ref="A8:K8"/>
    <mergeCell ref="A9:K9"/>
    <mergeCell ref="A10:K10"/>
    <mergeCell ref="C11:E11"/>
    <mergeCell ref="G11:I11"/>
    <mergeCell ref="A44:K44"/>
    <mergeCell ref="A46:K46"/>
    <mergeCell ref="A47:K47"/>
    <mergeCell ref="A48:K48"/>
    <mergeCell ref="A52:J53"/>
    <mergeCell ref="A54:J55"/>
  </mergeCells>
  <conditionalFormatting sqref="A3 A4:K9 A10 A50:J51 A52">
    <cfRule type="cellIs" dxfId="4" priority="1" stopIfTrue="1" operator="lessThan">
      <formula>0</formula>
    </cfRule>
  </conditionalFormatting>
  <pageMargins left="0.7" right="0.7" top="0.75" bottom="0.75" header="0.3" footer="0.3"/>
  <pageSetup scale="4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42704-DEBE-4A6D-AAFF-085D22A69EB6}">
  <dimension ref="A1:G49"/>
  <sheetViews>
    <sheetView view="pageBreakPreview" topLeftCell="A3" zoomScale="60" zoomScaleNormal="70" workbookViewId="0">
      <selection activeCell="A2" sqref="A2"/>
    </sheetView>
  </sheetViews>
  <sheetFormatPr defaultColWidth="9.140625" defaultRowHeight="12.75"/>
  <cols>
    <col min="1" max="1" width="33.5703125" style="1119" customWidth="1"/>
    <col min="2" max="2" width="17.140625" style="1119" customWidth="1"/>
    <col min="3" max="3" width="23.42578125" style="1119" customWidth="1"/>
    <col min="4" max="4" width="19.140625" style="1119" customWidth="1"/>
    <col min="5" max="5" width="21.85546875" style="1119" customWidth="1"/>
    <col min="6" max="16384" width="9.140625" style="1119"/>
  </cols>
  <sheetData>
    <row r="1" spans="1:7" s="763" customFormat="1" ht="15.75">
      <c r="A1" s="1143" t="s">
        <v>114</v>
      </c>
      <c r="G1" s="764"/>
    </row>
    <row r="2" spans="1:7" s="763" customFormat="1" ht="15.75">
      <c r="A2" s="1143" t="s">
        <v>114</v>
      </c>
      <c r="G2" s="764"/>
    </row>
    <row r="3" spans="1:7" ht="19.5">
      <c r="A3" s="763"/>
      <c r="B3" s="1332" t="s">
        <v>391</v>
      </c>
      <c r="C3" s="1332"/>
      <c r="D3" s="1332"/>
      <c r="E3" s="1332"/>
    </row>
    <row r="4" spans="1:7" ht="19.5">
      <c r="A4" s="763"/>
      <c r="B4" s="1332" t="s">
        <v>776</v>
      </c>
      <c r="C4" s="1332"/>
      <c r="D4" s="1332"/>
      <c r="E4" s="1332"/>
    </row>
    <row r="5" spans="1:7" ht="19.5">
      <c r="A5" s="763"/>
      <c r="B5" s="1332" t="s">
        <v>777</v>
      </c>
      <c r="C5" s="1332"/>
      <c r="D5" s="1332"/>
      <c r="E5" s="1332"/>
    </row>
    <row r="6" spans="1:7" ht="19.5">
      <c r="A6" s="763"/>
      <c r="B6" s="1332" t="s">
        <v>1187</v>
      </c>
      <c r="C6" s="1332"/>
      <c r="D6" s="1332"/>
      <c r="E6" s="1332"/>
    </row>
    <row r="7" spans="1:7" ht="19.5">
      <c r="A7" s="763"/>
      <c r="B7" s="1332" t="s">
        <v>778</v>
      </c>
      <c r="C7" s="1332"/>
      <c r="D7" s="1332"/>
      <c r="E7" s="1332"/>
    </row>
    <row r="8" spans="1:7" ht="19.5">
      <c r="A8" s="763"/>
      <c r="B8" s="1332" t="s">
        <v>779</v>
      </c>
      <c r="C8" s="1332"/>
      <c r="D8" s="1332"/>
      <c r="E8" s="1332"/>
    </row>
    <row r="9" spans="1:7" ht="15">
      <c r="A9" s="763"/>
      <c r="B9" s="757"/>
      <c r="C9" s="757"/>
      <c r="D9" s="759" t="s">
        <v>114</v>
      </c>
      <c r="E9" s="763"/>
    </row>
    <row r="10" spans="1:7" ht="15.75">
      <c r="A10" s="757"/>
      <c r="B10" s="771" t="s">
        <v>399</v>
      </c>
      <c r="C10" s="763"/>
      <c r="D10" s="763"/>
      <c r="E10" s="1144"/>
    </row>
    <row r="11" spans="1:7" ht="15.75">
      <c r="A11" s="759"/>
      <c r="B11" s="771" t="s">
        <v>403</v>
      </c>
      <c r="C11" s="771" t="s">
        <v>404</v>
      </c>
      <c r="D11" s="771"/>
      <c r="E11" s="763"/>
    </row>
    <row r="12" spans="1:7" ht="15.75" thickBot="1">
      <c r="A12" s="765"/>
      <c r="B12" s="757"/>
      <c r="C12" s="1145" t="s">
        <v>499</v>
      </c>
      <c r="D12" s="763"/>
      <c r="E12" s="763"/>
    </row>
    <row r="13" spans="1:7" ht="15">
      <c r="A13" s="767" t="s">
        <v>406</v>
      </c>
      <c r="B13" s="768"/>
      <c r="C13" s="1120"/>
      <c r="D13" s="763"/>
      <c r="E13" s="763"/>
    </row>
    <row r="14" spans="1:7" ht="15">
      <c r="A14" s="763"/>
      <c r="B14" s="1146"/>
      <c r="C14" s="1068"/>
      <c r="D14" s="772"/>
      <c r="E14" s="763"/>
    </row>
    <row r="15" spans="1:7" ht="15">
      <c r="A15" s="763" t="s">
        <v>407</v>
      </c>
      <c r="B15" s="1147">
        <v>352</v>
      </c>
      <c r="C15" s="1068">
        <v>1.9599999999999999E-2</v>
      </c>
      <c r="D15" s="772"/>
      <c r="E15" s="763"/>
    </row>
    <row r="16" spans="1:7" ht="15">
      <c r="A16" s="763" t="s">
        <v>408</v>
      </c>
      <c r="B16" s="1147">
        <v>353</v>
      </c>
      <c r="C16" s="1068">
        <v>2.5600000000000001E-2</v>
      </c>
      <c r="D16" s="772"/>
      <c r="E16" s="763"/>
    </row>
    <row r="17" spans="1:5" ht="15">
      <c r="A17" s="763" t="s">
        <v>409</v>
      </c>
      <c r="B17" s="1147">
        <v>354</v>
      </c>
      <c r="C17" s="1068">
        <v>6.7000000000000002E-3</v>
      </c>
      <c r="D17" s="772"/>
      <c r="E17" s="763"/>
    </row>
    <row r="18" spans="1:5" ht="15">
      <c r="A18" s="763" t="s">
        <v>410</v>
      </c>
      <c r="B18" s="1147">
        <v>355</v>
      </c>
      <c r="C18" s="1068">
        <v>3.0800000000000001E-2</v>
      </c>
      <c r="D18" s="772"/>
      <c r="E18" s="763"/>
    </row>
    <row r="19" spans="1:5" ht="15">
      <c r="A19" s="763" t="s">
        <v>773</v>
      </c>
      <c r="B19" s="1147">
        <v>356</v>
      </c>
      <c r="C19" s="1068">
        <v>1.3299999999999999E-2</v>
      </c>
      <c r="D19" s="772"/>
      <c r="E19" s="763"/>
    </row>
    <row r="20" spans="1:5" ht="15">
      <c r="A20" s="763" t="s">
        <v>411</v>
      </c>
      <c r="B20" s="1147">
        <v>357</v>
      </c>
      <c r="C20" s="1148" t="s">
        <v>615</v>
      </c>
      <c r="D20" s="763"/>
      <c r="E20" s="763"/>
    </row>
    <row r="21" spans="1:5" ht="15">
      <c r="A21" s="763" t="s">
        <v>412</v>
      </c>
      <c r="B21" s="1147">
        <v>358</v>
      </c>
      <c r="C21" s="1148" t="s">
        <v>615</v>
      </c>
      <c r="D21" s="772"/>
      <c r="E21" s="763"/>
    </row>
    <row r="22" spans="1:5" ht="15.75">
      <c r="A22" s="758" t="s">
        <v>780</v>
      </c>
      <c r="B22" s="1149"/>
      <c r="C22" s="1150">
        <v>2.5000000000000001E-2</v>
      </c>
      <c r="D22" s="772"/>
      <c r="E22" s="763"/>
    </row>
    <row r="23" spans="1:5" ht="15.75">
      <c r="A23" s="758"/>
      <c r="B23" s="1149"/>
      <c r="C23" s="1150"/>
      <c r="D23" s="772"/>
      <c r="E23" s="763"/>
    </row>
    <row r="24" spans="1:5" ht="15.75">
      <c r="A24" s="1151" t="s">
        <v>804</v>
      </c>
      <c r="C24" s="1152"/>
    </row>
    <row r="25" spans="1:5">
      <c r="C25" s="1152"/>
    </row>
    <row r="26" spans="1:5" ht="15">
      <c r="A26" s="1153" t="s">
        <v>805</v>
      </c>
      <c r="B26" s="1154">
        <v>390</v>
      </c>
      <c r="C26" s="1155">
        <v>1.9099999999999999E-2</v>
      </c>
    </row>
    <row r="27" spans="1:5" ht="15">
      <c r="A27" s="1153" t="s">
        <v>806</v>
      </c>
      <c r="B27" s="1154">
        <v>391</v>
      </c>
      <c r="C27" s="1155">
        <v>2.8799999999999999E-2</v>
      </c>
    </row>
    <row r="28" spans="1:5" ht="15">
      <c r="A28" s="1153" t="s">
        <v>807</v>
      </c>
      <c r="B28" s="1154">
        <v>393</v>
      </c>
      <c r="C28" s="1155">
        <v>2.29E-2</v>
      </c>
    </row>
    <row r="29" spans="1:5" ht="15">
      <c r="A29" s="1153" t="s">
        <v>808</v>
      </c>
      <c r="B29" s="1154">
        <v>394</v>
      </c>
      <c r="C29" s="1155">
        <v>3.09E-2</v>
      </c>
    </row>
    <row r="30" spans="1:5" ht="15">
      <c r="A30" s="1153" t="s">
        <v>809</v>
      </c>
      <c r="B30" s="1154">
        <v>395</v>
      </c>
      <c r="C30" s="1155">
        <v>2.2800000000000001E-2</v>
      </c>
    </row>
    <row r="31" spans="1:5" ht="15">
      <c r="A31" s="1153" t="s">
        <v>810</v>
      </c>
      <c r="B31" s="1154">
        <v>397</v>
      </c>
      <c r="C31" s="1155">
        <v>3.7699999999999997E-2</v>
      </c>
    </row>
    <row r="32" spans="1:5" ht="15">
      <c r="A32" s="1153" t="s">
        <v>811</v>
      </c>
      <c r="B32" s="1154">
        <v>398</v>
      </c>
      <c r="C32" s="1155">
        <v>5.1499999999999997E-2</v>
      </c>
    </row>
    <row r="33" spans="1:5" ht="15">
      <c r="A33" s="1156"/>
      <c r="B33" s="1153"/>
      <c r="C33" s="1155"/>
    </row>
    <row r="34" spans="1:5" ht="15.75">
      <c r="A34" s="1156"/>
      <c r="B34" s="1157" t="s">
        <v>812</v>
      </c>
      <c r="C34" s="1155">
        <v>2.6800000000000001E-2</v>
      </c>
    </row>
    <row r="35" spans="1:5" ht="15.75">
      <c r="A35" s="1156"/>
      <c r="B35" s="1157"/>
      <c r="C35" s="1158"/>
    </row>
    <row r="36" spans="1:5" ht="15.75">
      <c r="A36" s="763" t="s">
        <v>781</v>
      </c>
      <c r="B36" s="769"/>
      <c r="C36" s="1159"/>
      <c r="D36" s="763"/>
      <c r="E36" s="763"/>
    </row>
    <row r="37" spans="1:5" ht="15">
      <c r="A37" s="1330"/>
      <c r="B37" s="1330"/>
      <c r="C37" s="1330"/>
      <c r="D37" s="1330"/>
      <c r="E37" s="763"/>
    </row>
    <row r="38" spans="1:5" ht="15">
      <c r="A38" s="1330" t="s">
        <v>1188</v>
      </c>
      <c r="B38" s="1330"/>
      <c r="C38" s="1330"/>
      <c r="D38" s="1330"/>
      <c r="E38" s="763"/>
    </row>
    <row r="39" spans="1:5" ht="15">
      <c r="A39" s="763"/>
      <c r="B39" s="763"/>
      <c r="C39" s="763"/>
      <c r="D39" s="763"/>
      <c r="E39" s="763"/>
    </row>
    <row r="40" spans="1:5" ht="15">
      <c r="A40" s="1330" t="s">
        <v>1062</v>
      </c>
      <c r="B40" s="1330"/>
      <c r="C40" s="1330"/>
      <c r="D40" s="763"/>
      <c r="E40" s="763"/>
    </row>
    <row r="41" spans="1:5" ht="33" customHeight="1">
      <c r="A41" s="1330"/>
      <c r="B41" s="1330"/>
      <c r="C41" s="1330"/>
      <c r="D41" s="763"/>
      <c r="E41" s="763"/>
    </row>
    <row r="42" spans="1:5" ht="15">
      <c r="A42" s="763"/>
      <c r="B42" s="757"/>
      <c r="C42" s="1068"/>
      <c r="D42" s="763"/>
      <c r="E42" s="763"/>
    </row>
    <row r="43" spans="1:5" ht="15">
      <c r="A43" s="1330"/>
      <c r="B43" s="1330"/>
      <c r="C43" s="1330"/>
      <c r="D43" s="1330"/>
      <c r="E43" s="763"/>
    </row>
    <row r="44" spans="1:5" ht="15.75">
      <c r="A44" s="770" t="s">
        <v>782</v>
      </c>
      <c r="B44" s="757"/>
      <c r="C44" s="1068"/>
      <c r="D44" s="763"/>
      <c r="E44" s="763"/>
    </row>
    <row r="45" spans="1:5" ht="15">
      <c r="A45" s="1331" t="s">
        <v>820</v>
      </c>
      <c r="B45" s="1331"/>
      <c r="C45" s="1331"/>
      <c r="D45" s="1144"/>
      <c r="E45" s="763"/>
    </row>
    <row r="46" spans="1:5" ht="15">
      <c r="A46" s="1331"/>
      <c r="B46" s="1331"/>
      <c r="C46" s="1331"/>
      <c r="D46" s="1144"/>
      <c r="E46" s="763"/>
    </row>
    <row r="47" spans="1:5" ht="15">
      <c r="A47" s="1331"/>
      <c r="B47" s="1331"/>
      <c r="C47" s="1331"/>
      <c r="D47" s="1144"/>
      <c r="E47" s="763"/>
    </row>
    <row r="48" spans="1:5" ht="15">
      <c r="A48" s="1331"/>
      <c r="B48" s="1331"/>
      <c r="C48" s="1331"/>
      <c r="D48" s="1144"/>
      <c r="E48" s="763"/>
    </row>
    <row r="49" spans="1:5" ht="15">
      <c r="A49" s="1331"/>
      <c r="B49" s="1331"/>
      <c r="C49" s="1331"/>
      <c r="D49" s="1144"/>
      <c r="E49" s="763"/>
    </row>
  </sheetData>
  <mergeCells count="11">
    <mergeCell ref="B8:E8"/>
    <mergeCell ref="B3:E3"/>
    <mergeCell ref="B4:E4"/>
    <mergeCell ref="B5:E5"/>
    <mergeCell ref="B6:E6"/>
    <mergeCell ref="B7:E7"/>
    <mergeCell ref="A37:D37"/>
    <mergeCell ref="A38:D38"/>
    <mergeCell ref="A40:C41"/>
    <mergeCell ref="A43:D43"/>
    <mergeCell ref="A45:C49"/>
  </mergeCells>
  <conditionalFormatting sqref="B3:E4">
    <cfRule type="cellIs" dxfId="3" priority="1" stopIfTrue="1" operator="lessThan">
      <formula>0</formula>
    </cfRule>
  </conditionalFormatting>
  <pageMargins left="0.7" right="0.7" top="0.75" bottom="0.75" header="0.3" footer="0.3"/>
  <pageSetup scale="8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75181-B1B4-4FC0-8CD0-AEC4ADB790D2}">
  <dimension ref="A1:G48"/>
  <sheetViews>
    <sheetView view="pageBreakPreview" zoomScale="60" zoomScaleNormal="70" workbookViewId="0">
      <selection activeCell="B27" sqref="B27:B35"/>
    </sheetView>
  </sheetViews>
  <sheetFormatPr defaultColWidth="9.140625" defaultRowHeight="12.75"/>
  <cols>
    <col min="1" max="1" width="9.140625" style="1119"/>
    <col min="2" max="2" width="38.5703125" style="1119" customWidth="1"/>
    <col min="3" max="3" width="21.85546875" style="1119" customWidth="1"/>
    <col min="4" max="4" width="25.85546875" style="1119" customWidth="1"/>
    <col min="5" max="16384" width="9.140625" style="1119"/>
  </cols>
  <sheetData>
    <row r="1" spans="1:7" s="763" customFormat="1" ht="15.75">
      <c r="A1" s="1143" t="s">
        <v>114</v>
      </c>
      <c r="G1" s="764"/>
    </row>
    <row r="2" spans="1:7" s="763" customFormat="1" ht="15.75">
      <c r="A2" s="1143" t="s">
        <v>114</v>
      </c>
      <c r="G2" s="764"/>
    </row>
    <row r="3" spans="1:7" ht="19.5">
      <c r="A3" s="763"/>
      <c r="B3" s="1332" t="s">
        <v>391</v>
      </c>
      <c r="C3" s="1332"/>
      <c r="D3" s="1332"/>
      <c r="E3" s="1332"/>
    </row>
    <row r="4" spans="1:7" ht="19.5">
      <c r="A4" s="763"/>
      <c r="B4" s="1332" t="s">
        <v>776</v>
      </c>
      <c r="C4" s="1332"/>
      <c r="D4" s="1332"/>
      <c r="E4" s="1332"/>
    </row>
    <row r="5" spans="1:7" ht="19.5">
      <c r="A5" s="763"/>
      <c r="B5" s="1332" t="s">
        <v>777</v>
      </c>
      <c r="C5" s="1332"/>
      <c r="D5" s="1332"/>
      <c r="E5" s="1332"/>
    </row>
    <row r="6" spans="1:7" ht="19.5">
      <c r="A6" s="763"/>
      <c r="B6" s="1332" t="s">
        <v>783</v>
      </c>
      <c r="C6" s="1332"/>
      <c r="D6" s="1332"/>
      <c r="E6" s="1332"/>
    </row>
    <row r="7" spans="1:7" ht="19.5">
      <c r="A7" s="763"/>
      <c r="B7" s="1332" t="s">
        <v>778</v>
      </c>
      <c r="C7" s="1332"/>
      <c r="D7" s="1332"/>
      <c r="E7" s="1332"/>
    </row>
    <row r="8" spans="1:7" ht="19.5">
      <c r="A8" s="763"/>
      <c r="B8" s="1332" t="s">
        <v>784</v>
      </c>
      <c r="C8" s="1332"/>
      <c r="D8" s="1332"/>
      <c r="E8" s="1332"/>
    </row>
    <row r="9" spans="1:7" ht="15">
      <c r="A9" s="763"/>
      <c r="B9" s="757"/>
      <c r="C9" s="757"/>
      <c r="D9" s="759" t="s">
        <v>114</v>
      </c>
      <c r="E9" s="763"/>
    </row>
    <row r="10" spans="1:7" ht="15.75">
      <c r="A10" s="763"/>
      <c r="B10" s="757"/>
      <c r="C10" s="771" t="s">
        <v>399</v>
      </c>
      <c r="D10" s="763"/>
      <c r="E10" s="763"/>
    </row>
    <row r="11" spans="1:7" ht="15.75">
      <c r="A11" s="763"/>
      <c r="B11" s="759"/>
      <c r="C11" s="771" t="s">
        <v>403</v>
      </c>
      <c r="D11" s="771" t="s">
        <v>404</v>
      </c>
      <c r="E11" s="771"/>
    </row>
    <row r="12" spans="1:7" ht="15.75" thickBot="1">
      <c r="A12" s="763"/>
      <c r="B12" s="765"/>
      <c r="C12" s="757"/>
      <c r="D12" s="1145" t="s">
        <v>499</v>
      </c>
      <c r="E12" s="763"/>
    </row>
    <row r="13" spans="1:7" ht="15">
      <c r="A13" s="763"/>
      <c r="B13" s="767" t="s">
        <v>406</v>
      </c>
      <c r="C13" s="768"/>
      <c r="D13" s="1120"/>
      <c r="E13" s="763"/>
    </row>
    <row r="14" spans="1:7" ht="15">
      <c r="A14" s="763"/>
      <c r="B14" s="763"/>
      <c r="C14" s="1146"/>
      <c r="D14" s="1068"/>
      <c r="E14" s="772"/>
    </row>
    <row r="15" spans="1:7" ht="15">
      <c r="A15" s="763"/>
      <c r="B15" s="763" t="s">
        <v>785</v>
      </c>
      <c r="C15" s="763">
        <v>350.1</v>
      </c>
      <c r="D15" s="1068">
        <v>1.44E-2</v>
      </c>
      <c r="E15" s="772"/>
    </row>
    <row r="16" spans="1:7" ht="15">
      <c r="A16" s="763"/>
      <c r="B16" s="763" t="s">
        <v>407</v>
      </c>
      <c r="C16" s="1147">
        <v>352</v>
      </c>
      <c r="D16" s="1068">
        <v>2.0799999999999999E-2</v>
      </c>
      <c r="E16" s="772"/>
    </row>
    <row r="17" spans="1:5" ht="15">
      <c r="A17" s="763"/>
      <c r="B17" s="763" t="s">
        <v>408</v>
      </c>
      <c r="C17" s="1147">
        <v>353</v>
      </c>
      <c r="D17" s="1068">
        <v>2.1499999999999998E-2</v>
      </c>
      <c r="E17" s="772"/>
    </row>
    <row r="18" spans="1:5" ht="15">
      <c r="A18" s="763"/>
      <c r="B18" s="763" t="s">
        <v>409</v>
      </c>
      <c r="C18" s="1147">
        <v>354</v>
      </c>
      <c r="D18" s="1068">
        <v>2.6100000000000002E-2</v>
      </c>
      <c r="E18" s="772"/>
    </row>
    <row r="19" spans="1:5" ht="15">
      <c r="A19" s="763"/>
      <c r="B19" s="763" t="s">
        <v>410</v>
      </c>
      <c r="C19" s="1147">
        <v>355</v>
      </c>
      <c r="D19" s="1068">
        <v>3.95E-2</v>
      </c>
      <c r="E19" s="772"/>
    </row>
    <row r="20" spans="1:5" ht="15">
      <c r="A20" s="763"/>
      <c r="B20" s="763" t="s">
        <v>773</v>
      </c>
      <c r="C20" s="1147">
        <v>356</v>
      </c>
      <c r="D20" s="1068">
        <v>2.9100000000000001E-2</v>
      </c>
      <c r="E20" s="772"/>
    </row>
    <row r="21" spans="1:5" ht="15">
      <c r="A21" s="763"/>
      <c r="B21" s="763" t="s">
        <v>411</v>
      </c>
      <c r="C21" s="1147">
        <v>357</v>
      </c>
      <c r="D21" s="1068">
        <v>2.9899999999999999E-2</v>
      </c>
      <c r="E21" s="772"/>
    </row>
    <row r="22" spans="1:5" ht="15">
      <c r="A22" s="763"/>
      <c r="B22" s="763" t="s">
        <v>412</v>
      </c>
      <c r="C22" s="1147">
        <v>358</v>
      </c>
      <c r="D22" s="1068">
        <v>2.6200000000000001E-2</v>
      </c>
      <c r="E22" s="772"/>
    </row>
    <row r="23" spans="1:5" ht="15.75" thickBot="1">
      <c r="A23" s="763"/>
      <c r="B23" s="1160"/>
      <c r="C23" s="1161"/>
      <c r="D23" s="1162"/>
      <c r="E23" s="772"/>
    </row>
    <row r="24" spans="1:5" ht="15.75">
      <c r="A24" s="763"/>
      <c r="B24" s="1151" t="s">
        <v>804</v>
      </c>
      <c r="C24" s="1147"/>
      <c r="D24" s="1068"/>
      <c r="E24" s="772"/>
    </row>
    <row r="25" spans="1:5" ht="15">
      <c r="A25" s="763"/>
      <c r="C25" s="1147"/>
      <c r="D25" s="1068"/>
      <c r="E25" s="772"/>
    </row>
    <row r="26" spans="1:5" ht="15">
      <c r="A26" s="763"/>
      <c r="B26" s="763" t="s">
        <v>1189</v>
      </c>
      <c r="C26" s="763">
        <v>389.1</v>
      </c>
      <c r="D26" s="1068">
        <v>1.5900000000000001E-2</v>
      </c>
      <c r="E26" s="772"/>
    </row>
    <row r="27" spans="1:5" ht="15">
      <c r="A27" s="763"/>
      <c r="B27" s="763" t="s">
        <v>1190</v>
      </c>
      <c r="C27" s="1147">
        <v>390</v>
      </c>
      <c r="D27" s="1068">
        <v>3.9699999999999999E-2</v>
      </c>
      <c r="E27" s="772"/>
    </row>
    <row r="28" spans="1:5" ht="15">
      <c r="A28" s="763"/>
      <c r="B28" s="763" t="s">
        <v>1191</v>
      </c>
      <c r="C28" s="1147">
        <v>391</v>
      </c>
      <c r="D28" s="1068">
        <v>3.2000000000000001E-2</v>
      </c>
      <c r="E28" s="772"/>
    </row>
    <row r="29" spans="1:5" ht="15">
      <c r="A29" s="763"/>
      <c r="B29" s="763" t="s">
        <v>1192</v>
      </c>
      <c r="C29" s="1147">
        <v>392</v>
      </c>
      <c r="D29" s="1068">
        <v>3.5200000000000002E-2</v>
      </c>
      <c r="E29" s="772"/>
    </row>
    <row r="30" spans="1:5" ht="15">
      <c r="A30" s="763"/>
      <c r="B30" s="763" t="s">
        <v>1193</v>
      </c>
      <c r="C30" s="1147">
        <v>393</v>
      </c>
      <c r="D30" s="1068">
        <v>4.1500000000000002E-2</v>
      </c>
      <c r="E30" s="772"/>
    </row>
    <row r="31" spans="1:5" ht="15">
      <c r="A31" s="763"/>
      <c r="B31" s="763" t="s">
        <v>1194</v>
      </c>
      <c r="C31" s="1147">
        <v>394</v>
      </c>
      <c r="D31" s="1068">
        <v>4.2000000000000003E-2</v>
      </c>
      <c r="E31" s="772"/>
    </row>
    <row r="32" spans="1:5" ht="15">
      <c r="A32" s="763"/>
      <c r="B32" s="763" t="s">
        <v>809</v>
      </c>
      <c r="C32" s="1147">
        <v>395</v>
      </c>
      <c r="D32" s="1068">
        <v>5.7599999999999998E-2</v>
      </c>
      <c r="E32" s="772"/>
    </row>
    <row r="33" spans="1:5" ht="15">
      <c r="A33" s="763"/>
      <c r="B33" s="763" t="s">
        <v>1195</v>
      </c>
      <c r="C33" s="1147">
        <v>396</v>
      </c>
      <c r="D33" s="1068">
        <v>5.4300000000000001E-2</v>
      </c>
      <c r="E33" s="772"/>
    </row>
    <row r="34" spans="1:5" ht="15">
      <c r="A34" s="763"/>
      <c r="B34" s="763" t="s">
        <v>1196</v>
      </c>
      <c r="C34" s="1147">
        <v>397</v>
      </c>
      <c r="D34" s="1068">
        <v>5.6599999999999998E-2</v>
      </c>
      <c r="E34" s="772"/>
    </row>
    <row r="35" spans="1:5" ht="15">
      <c r="A35" s="763"/>
      <c r="B35" s="763" t="s">
        <v>1197</v>
      </c>
      <c r="C35" s="1147">
        <v>398</v>
      </c>
      <c r="D35" s="1068">
        <v>6.7299999999999999E-2</v>
      </c>
      <c r="E35" s="772"/>
    </row>
    <row r="36" spans="1:5" ht="15">
      <c r="A36" s="763"/>
      <c r="B36" s="763"/>
      <c r="C36" s="1147"/>
      <c r="D36" s="1068"/>
      <c r="E36" s="772"/>
    </row>
    <row r="37" spans="1:5" ht="15">
      <c r="A37" s="763"/>
      <c r="B37" s="763"/>
      <c r="C37" s="1147"/>
      <c r="D37" s="1068"/>
      <c r="E37" s="772"/>
    </row>
    <row r="38" spans="1:5" ht="15">
      <c r="A38" s="763"/>
      <c r="B38" s="763"/>
      <c r="C38" s="757"/>
      <c r="D38" s="1068"/>
      <c r="E38" s="763"/>
    </row>
    <row r="39" spans="1:5" ht="15.75">
      <c r="A39" s="763"/>
      <c r="B39" s="763" t="s">
        <v>781</v>
      </c>
      <c r="C39" s="769"/>
      <c r="D39" s="1159"/>
      <c r="E39" s="763"/>
    </row>
    <row r="40" spans="1:5" ht="15">
      <c r="A40" s="763"/>
      <c r="B40" s="1330"/>
      <c r="C40" s="1330"/>
      <c r="D40" s="1330"/>
      <c r="E40" s="1330"/>
    </row>
    <row r="41" spans="1:5" ht="15">
      <c r="A41" s="763"/>
      <c r="B41" s="1330" t="s">
        <v>786</v>
      </c>
      <c r="C41" s="1330"/>
      <c r="D41" s="1330"/>
      <c r="E41" s="1330"/>
    </row>
    <row r="42" spans="1:5" ht="15">
      <c r="A42" s="763"/>
      <c r="B42" s="1330"/>
      <c r="C42" s="1330"/>
      <c r="D42" s="1330"/>
      <c r="E42" s="1330"/>
    </row>
    <row r="43" spans="1:5" ht="15.75">
      <c r="A43" s="763"/>
      <c r="B43" s="770" t="s">
        <v>782</v>
      </c>
      <c r="C43" s="757"/>
      <c r="D43" s="1068"/>
      <c r="E43" s="763"/>
    </row>
    <row r="44" spans="1:5" ht="15">
      <c r="A44" s="763"/>
      <c r="B44" s="1331" t="s">
        <v>820</v>
      </c>
      <c r="C44" s="1331"/>
      <c r="D44" s="1331"/>
      <c r="E44" s="1144"/>
    </row>
    <row r="45" spans="1:5" ht="15">
      <c r="A45" s="763"/>
      <c r="B45" s="1331"/>
      <c r="C45" s="1331"/>
      <c r="D45" s="1331"/>
      <c r="E45" s="1144"/>
    </row>
    <row r="46" spans="1:5" ht="15">
      <c r="A46" s="763"/>
      <c r="B46" s="1331"/>
      <c r="C46" s="1331"/>
      <c r="D46" s="1331"/>
      <c r="E46" s="1144"/>
    </row>
    <row r="47" spans="1:5" ht="15">
      <c r="A47" s="763"/>
      <c r="B47" s="1331"/>
      <c r="C47" s="1331"/>
      <c r="D47" s="1331"/>
      <c r="E47" s="1144"/>
    </row>
    <row r="48" spans="1:5" ht="15">
      <c r="A48" s="763"/>
      <c r="B48" s="1331"/>
      <c r="C48" s="1331"/>
      <c r="D48" s="1331"/>
      <c r="E48" s="1144"/>
    </row>
  </sheetData>
  <mergeCells count="10">
    <mergeCell ref="B40:E40"/>
    <mergeCell ref="B41:E41"/>
    <mergeCell ref="B42:E42"/>
    <mergeCell ref="B44:D48"/>
    <mergeCell ref="B3:E3"/>
    <mergeCell ref="B4:E4"/>
    <mergeCell ref="B5:E5"/>
    <mergeCell ref="B6:E6"/>
    <mergeCell ref="B7:E7"/>
    <mergeCell ref="B8:E8"/>
  </mergeCells>
  <conditionalFormatting sqref="B3:E4">
    <cfRule type="cellIs" dxfId="2" priority="1" stopIfTrue="1" operator="lessThan">
      <formula>0</formula>
    </cfRule>
  </conditionalFormatting>
  <pageMargins left="0.7" right="0.7" top="0.75" bottom="0.75" header="0.3" footer="0.3"/>
  <pageSetup scale="8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54587-9A5B-4677-B513-08D4DBFBC84B}">
  <dimension ref="A1:G60"/>
  <sheetViews>
    <sheetView view="pageBreakPreview" zoomScale="60" zoomScaleNormal="70" workbookViewId="0">
      <selection activeCell="A2" sqref="A2"/>
    </sheetView>
  </sheetViews>
  <sheetFormatPr defaultColWidth="9.140625" defaultRowHeight="12.75"/>
  <cols>
    <col min="1" max="1" width="38.85546875" style="1119" customWidth="1"/>
    <col min="2" max="2" width="28.42578125" style="1119" customWidth="1"/>
    <col min="3" max="3" width="23.140625" style="1119" customWidth="1"/>
    <col min="4" max="16384" width="9.140625" style="1119"/>
  </cols>
  <sheetData>
    <row r="1" spans="1:7" s="763" customFormat="1" ht="15.75">
      <c r="A1" s="1143" t="s">
        <v>114</v>
      </c>
      <c r="G1" s="764"/>
    </row>
    <row r="2" spans="1:7" s="763" customFormat="1" ht="15.75">
      <c r="A2" s="1143" t="s">
        <v>114</v>
      </c>
      <c r="G2" s="764"/>
    </row>
    <row r="3" spans="1:7" ht="19.5">
      <c r="A3" s="1332" t="s">
        <v>391</v>
      </c>
      <c r="B3" s="1332"/>
      <c r="C3" s="1332"/>
      <c r="D3" s="1332"/>
    </row>
    <row r="4" spans="1:7" ht="19.5">
      <c r="A4" s="1332" t="s">
        <v>776</v>
      </c>
      <c r="B4" s="1332"/>
      <c r="C4" s="1332"/>
      <c r="D4" s="1332"/>
    </row>
    <row r="5" spans="1:7" ht="19.5">
      <c r="A5" s="1332" t="s">
        <v>777</v>
      </c>
      <c r="B5" s="1332"/>
      <c r="C5" s="1332"/>
      <c r="D5" s="1332"/>
    </row>
    <row r="6" spans="1:7" ht="19.5">
      <c r="A6" s="1332" t="s">
        <v>1198</v>
      </c>
      <c r="B6" s="1332"/>
      <c r="C6" s="1332"/>
      <c r="D6" s="1332"/>
    </row>
    <row r="7" spans="1:7" ht="19.5">
      <c r="A7" s="1332" t="s">
        <v>778</v>
      </c>
      <c r="B7" s="1332"/>
      <c r="C7" s="1332"/>
      <c r="D7" s="1332"/>
    </row>
    <row r="8" spans="1:7" ht="19.5">
      <c r="A8" s="1332" t="s">
        <v>787</v>
      </c>
      <c r="B8" s="1332"/>
      <c r="C8" s="1332"/>
      <c r="D8" s="1332"/>
    </row>
    <row r="9" spans="1:7" ht="15">
      <c r="A9" s="757"/>
      <c r="B9" s="757"/>
      <c r="C9" s="759" t="s">
        <v>114</v>
      </c>
      <c r="D9" s="763"/>
    </row>
    <row r="10" spans="1:7" ht="15.75">
      <c r="A10" s="757"/>
      <c r="B10" s="771" t="s">
        <v>399</v>
      </c>
      <c r="C10" s="763"/>
      <c r="D10" s="763"/>
    </row>
    <row r="11" spans="1:7" ht="15.75">
      <c r="A11" s="759"/>
      <c r="B11" s="771" t="s">
        <v>403</v>
      </c>
      <c r="C11" s="771" t="s">
        <v>404</v>
      </c>
      <c r="D11" s="771"/>
    </row>
    <row r="12" spans="1:7" ht="15.75" thickBot="1">
      <c r="A12" s="765"/>
      <c r="B12" s="757"/>
      <c r="C12" s="1145" t="s">
        <v>499</v>
      </c>
      <c r="D12" s="763"/>
    </row>
    <row r="13" spans="1:7" ht="15">
      <c r="A13" s="767" t="s">
        <v>406</v>
      </c>
      <c r="B13" s="768"/>
      <c r="C13" s="1120"/>
      <c r="D13" s="763"/>
    </row>
    <row r="14" spans="1:7" ht="15">
      <c r="A14" s="763" t="s">
        <v>407</v>
      </c>
      <c r="B14" s="1147">
        <v>352</v>
      </c>
      <c r="C14" s="1068">
        <v>2.0199999999999999E-2</v>
      </c>
      <c r="D14" s="772"/>
    </row>
    <row r="15" spans="1:7" ht="15">
      <c r="A15" s="763" t="s">
        <v>408</v>
      </c>
      <c r="B15" s="1147">
        <v>353</v>
      </c>
      <c r="C15" s="1068">
        <v>2.29E-2</v>
      </c>
      <c r="D15" s="772"/>
    </row>
    <row r="16" spans="1:7" ht="15">
      <c r="A16" s="1146"/>
      <c r="B16" s="1147"/>
      <c r="C16" s="1068"/>
      <c r="D16" s="772"/>
    </row>
    <row r="17" spans="1:4" ht="15">
      <c r="A17" s="763" t="s">
        <v>788</v>
      </c>
      <c r="B17" s="1147">
        <v>354</v>
      </c>
      <c r="C17" s="1068">
        <v>1.8800000000000001E-2</v>
      </c>
      <c r="D17" s="772"/>
    </row>
    <row r="18" spans="1:4" ht="15">
      <c r="A18" s="763" t="s">
        <v>789</v>
      </c>
      <c r="B18" s="1147">
        <v>354</v>
      </c>
      <c r="C18" s="1068">
        <v>1.8800000000000001E-2</v>
      </c>
      <c r="D18" s="772"/>
    </row>
    <row r="19" spans="1:4" ht="15">
      <c r="A19" s="763"/>
      <c r="B19" s="1147"/>
      <c r="C19" s="1068"/>
      <c r="D19" s="772"/>
    </row>
    <row r="20" spans="1:4" ht="15">
      <c r="A20" s="763" t="s">
        <v>790</v>
      </c>
      <c r="B20" s="1147">
        <v>355</v>
      </c>
      <c r="C20" s="1068">
        <v>3.5200000000000002E-2</v>
      </c>
      <c r="D20" s="772"/>
    </row>
    <row r="21" spans="1:4" ht="15">
      <c r="A21" s="763" t="s">
        <v>791</v>
      </c>
      <c r="B21" s="1147">
        <v>355</v>
      </c>
      <c r="C21" s="1068">
        <v>3.5200000000000002E-2</v>
      </c>
      <c r="D21" s="772"/>
    </row>
    <row r="22" spans="1:4" ht="15">
      <c r="A22" s="763"/>
      <c r="B22" s="1147"/>
      <c r="C22" s="1068"/>
      <c r="D22" s="772"/>
    </row>
    <row r="23" spans="1:4" ht="15">
      <c r="A23" s="763" t="s">
        <v>792</v>
      </c>
      <c r="B23" s="1147">
        <v>356</v>
      </c>
      <c r="C23" s="1068">
        <v>1.9099999999999999E-2</v>
      </c>
      <c r="D23" s="772"/>
    </row>
    <row r="24" spans="1:4" ht="15">
      <c r="A24" s="763" t="s">
        <v>793</v>
      </c>
      <c r="B24" s="1147">
        <v>356</v>
      </c>
      <c r="C24" s="1068">
        <v>1.9099999999999999E-2</v>
      </c>
      <c r="D24" s="772"/>
    </row>
    <row r="25" spans="1:4" ht="15">
      <c r="A25" s="763" t="s">
        <v>794</v>
      </c>
      <c r="B25" s="1147">
        <v>356</v>
      </c>
      <c r="C25" s="1068">
        <v>1.9099999999999999E-2</v>
      </c>
      <c r="D25" s="772"/>
    </row>
    <row r="26" spans="1:4" ht="15">
      <c r="A26" s="763" t="s">
        <v>795</v>
      </c>
      <c r="B26" s="1147">
        <v>356</v>
      </c>
      <c r="C26" s="1068">
        <v>1.9099999999999999E-2</v>
      </c>
      <c r="D26" s="772"/>
    </row>
    <row r="27" spans="1:4" ht="15">
      <c r="A27" s="763" t="s">
        <v>796</v>
      </c>
      <c r="B27" s="1147">
        <v>356</v>
      </c>
      <c r="C27" s="1068">
        <v>1.9099999999999999E-2</v>
      </c>
      <c r="D27" s="772"/>
    </row>
    <row r="28" spans="1:4" ht="15">
      <c r="A28" s="763"/>
      <c r="B28" s="1147"/>
      <c r="C28" s="1068"/>
      <c r="D28" s="772"/>
    </row>
    <row r="29" spans="1:4" ht="15">
      <c r="A29" s="763" t="s">
        <v>411</v>
      </c>
      <c r="B29" s="1147">
        <v>357</v>
      </c>
      <c r="C29" s="1068">
        <v>2.2599999999999999E-2</v>
      </c>
      <c r="D29" s="772"/>
    </row>
    <row r="30" spans="1:4" ht="15">
      <c r="A30" s="763" t="s">
        <v>412</v>
      </c>
      <c r="B30" s="1147">
        <v>358</v>
      </c>
      <c r="C30" s="1068">
        <v>3.27E-2</v>
      </c>
      <c r="D30" s="772"/>
    </row>
    <row r="31" spans="1:4" ht="15.75" thickBot="1">
      <c r="A31" s="1163"/>
      <c r="B31" s="1164"/>
      <c r="C31" s="1162"/>
      <c r="D31" s="763"/>
    </row>
    <row r="32" spans="1:4" ht="15">
      <c r="A32" s="1146" t="s">
        <v>1199</v>
      </c>
      <c r="B32" s="1147">
        <v>390</v>
      </c>
      <c r="C32" s="1068">
        <v>2.1700000000000001E-2</v>
      </c>
    </row>
    <row r="33" spans="1:4" ht="15">
      <c r="A33" s="763" t="s">
        <v>1190</v>
      </c>
      <c r="B33" s="1147">
        <v>391</v>
      </c>
      <c r="C33" s="1068">
        <v>3.3300000000000003E-2</v>
      </c>
    </row>
    <row r="34" spans="1:4" ht="15">
      <c r="A34" s="763" t="s">
        <v>1191</v>
      </c>
      <c r="B34" s="1147">
        <v>392</v>
      </c>
      <c r="C34" s="1068">
        <v>0.02</v>
      </c>
    </row>
    <row r="35" spans="1:4" ht="15">
      <c r="A35" s="763" t="s">
        <v>1192</v>
      </c>
      <c r="B35" s="1147">
        <v>393</v>
      </c>
      <c r="C35" s="1068">
        <v>2.9399999999999999E-2</v>
      </c>
    </row>
    <row r="36" spans="1:4" ht="15">
      <c r="A36" s="763" t="s">
        <v>1193</v>
      </c>
      <c r="B36" s="1147">
        <v>394</v>
      </c>
      <c r="C36" s="1068">
        <v>3.5299999999999998E-2</v>
      </c>
    </row>
    <row r="37" spans="1:4" ht="15">
      <c r="A37" s="763" t="s">
        <v>1194</v>
      </c>
      <c r="B37" s="1147">
        <v>395</v>
      </c>
      <c r="C37" s="1068">
        <v>3.5700000000000003E-2</v>
      </c>
    </row>
    <row r="38" spans="1:4" ht="15">
      <c r="A38" s="763" t="s">
        <v>809</v>
      </c>
      <c r="B38" s="1147">
        <v>396</v>
      </c>
      <c r="C38" s="1068">
        <v>3.85E-2</v>
      </c>
    </row>
    <row r="39" spans="1:4" ht="15">
      <c r="A39" s="763" t="s">
        <v>1195</v>
      </c>
      <c r="B39" s="1147">
        <v>397</v>
      </c>
      <c r="C39" s="1068">
        <v>2.86E-2</v>
      </c>
    </row>
    <row r="40" spans="1:4" ht="15">
      <c r="A40" s="763" t="s">
        <v>1196</v>
      </c>
      <c r="B40" s="1147">
        <v>397.16</v>
      </c>
      <c r="C40" s="1068">
        <v>6.6699999999999995E-2</v>
      </c>
    </row>
    <row r="41" spans="1:4" ht="15">
      <c r="A41" s="763" t="s">
        <v>1200</v>
      </c>
      <c r="B41" s="1147">
        <v>398</v>
      </c>
      <c r="C41" s="1068">
        <v>0.04</v>
      </c>
    </row>
    <row r="42" spans="1:4" ht="15">
      <c r="A42" s="763" t="s">
        <v>1197</v>
      </c>
      <c r="B42" s="757"/>
      <c r="C42" s="1068"/>
      <c r="D42" s="763"/>
    </row>
    <row r="43" spans="1:4" ht="15">
      <c r="A43" s="1146"/>
      <c r="B43" s="757"/>
      <c r="C43" s="1068"/>
      <c r="D43" s="763"/>
    </row>
    <row r="44" spans="1:4" ht="15">
      <c r="A44" s="765"/>
      <c r="B44" s="757"/>
      <c r="C44" s="1068"/>
      <c r="D44" s="763"/>
    </row>
    <row r="45" spans="1:4" ht="15">
      <c r="A45" s="763"/>
      <c r="B45" s="757"/>
      <c r="C45" s="1068"/>
      <c r="D45" s="763"/>
    </row>
    <row r="46" spans="1:4" ht="15.75">
      <c r="A46" s="763" t="s">
        <v>781</v>
      </c>
      <c r="B46" s="769"/>
      <c r="C46" s="1159"/>
      <c r="D46" s="763"/>
    </row>
    <row r="47" spans="1:4" ht="15">
      <c r="A47" s="1330" t="s">
        <v>797</v>
      </c>
      <c r="B47" s="1330"/>
      <c r="C47" s="1330"/>
      <c r="D47" s="1330"/>
    </row>
    <row r="48" spans="1:4" ht="15">
      <c r="A48" s="763" t="s">
        <v>798</v>
      </c>
      <c r="B48" s="763"/>
      <c r="C48" s="763"/>
      <c r="D48" s="763"/>
    </row>
    <row r="49" spans="1:4" ht="15">
      <c r="A49" s="763" t="s">
        <v>799</v>
      </c>
      <c r="B49" s="763"/>
      <c r="C49" s="763"/>
      <c r="D49" s="763"/>
    </row>
    <row r="50" spans="1:4" ht="15">
      <c r="A50" s="763"/>
      <c r="B50" s="763"/>
      <c r="C50" s="763"/>
      <c r="D50" s="763"/>
    </row>
    <row r="51" spans="1:4" ht="15">
      <c r="A51" s="1333" t="s">
        <v>1201</v>
      </c>
      <c r="B51" s="1333"/>
      <c r="C51" s="1333"/>
      <c r="D51" s="763"/>
    </row>
    <row r="52" spans="1:4" ht="15">
      <c r="A52" s="1333"/>
      <c r="B52" s="1333"/>
      <c r="C52" s="1333"/>
      <c r="D52" s="763"/>
    </row>
    <row r="53" spans="1:4" ht="15">
      <c r="A53" s="763"/>
      <c r="B53" s="763"/>
      <c r="C53" s="763"/>
      <c r="D53" s="763"/>
    </row>
    <row r="54" spans="1:4" ht="15.75">
      <c r="A54" s="770" t="s">
        <v>800</v>
      </c>
      <c r="B54" s="757"/>
      <c r="C54" s="1068"/>
      <c r="D54" s="763"/>
    </row>
    <row r="55" spans="1:4">
      <c r="A55" s="1331" t="s">
        <v>820</v>
      </c>
      <c r="B55" s="1331"/>
      <c r="C55" s="1331"/>
      <c r="D55" s="1144"/>
    </row>
    <row r="56" spans="1:4">
      <c r="A56" s="1331"/>
      <c r="B56" s="1331"/>
      <c r="C56" s="1331"/>
      <c r="D56" s="1144"/>
    </row>
    <row r="57" spans="1:4">
      <c r="A57" s="1331"/>
      <c r="B57" s="1331"/>
      <c r="C57" s="1331"/>
      <c r="D57" s="1144"/>
    </row>
    <row r="58" spans="1:4">
      <c r="A58" s="1331"/>
      <c r="B58" s="1331"/>
      <c r="C58" s="1331"/>
      <c r="D58" s="1144"/>
    </row>
    <row r="59" spans="1:4">
      <c r="A59" s="1331"/>
      <c r="B59" s="1331"/>
      <c r="C59" s="1331"/>
      <c r="D59" s="1144"/>
    </row>
    <row r="60" spans="1:4" ht="15">
      <c r="A60" s="763"/>
      <c r="B60" s="763"/>
      <c r="C60" s="763"/>
      <c r="D60" s="763"/>
    </row>
  </sheetData>
  <mergeCells count="9">
    <mergeCell ref="A47:D47"/>
    <mergeCell ref="A51:C52"/>
    <mergeCell ref="A55:C59"/>
    <mergeCell ref="A3:D3"/>
    <mergeCell ref="A4:D4"/>
    <mergeCell ref="A5:D5"/>
    <mergeCell ref="A6:D6"/>
    <mergeCell ref="A7:D7"/>
    <mergeCell ref="A8:D8"/>
  </mergeCells>
  <pageMargins left="0.7" right="0.7" top="0.75" bottom="0.75" header="0.3" footer="0.3"/>
  <pageSetup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575F4-2E15-40C0-9453-C250F28BC90F}">
  <sheetPr transitionEvaluation="1">
    <pageSetUpPr fitToPage="1"/>
  </sheetPr>
  <dimension ref="A1:H45"/>
  <sheetViews>
    <sheetView defaultGridColor="0" colorId="22" zoomScale="75" workbookViewId="0">
      <selection activeCell="A2" sqref="A2"/>
    </sheetView>
  </sheetViews>
  <sheetFormatPr defaultColWidth="14.5703125" defaultRowHeight="15"/>
  <cols>
    <col min="1" max="1" width="41.5703125" style="763" customWidth="1"/>
    <col min="2" max="2" width="33.140625" style="763" customWidth="1"/>
    <col min="3" max="4" width="31.85546875" style="763" customWidth="1"/>
    <col min="5" max="5" width="16.5703125" style="763" customWidth="1"/>
    <col min="6" max="6" width="14.5703125" style="763" customWidth="1"/>
    <col min="7" max="7" width="4.85546875" style="763" customWidth="1"/>
    <col min="8" max="8" width="14.5703125" style="764" customWidth="1"/>
    <col min="9" max="9" width="18.42578125" style="763" customWidth="1"/>
    <col min="10" max="10" width="15.5703125" style="763" customWidth="1"/>
    <col min="11" max="11" width="6.140625" style="763" customWidth="1"/>
    <col min="12" max="12" width="14.5703125" style="763" customWidth="1"/>
    <col min="13" max="13" width="16.140625" style="763" customWidth="1"/>
    <col min="14" max="14" width="14.5703125" style="763" customWidth="1"/>
    <col min="15" max="15" width="4.85546875" style="763" customWidth="1"/>
    <col min="16" max="16" width="18.5703125" style="763" customWidth="1"/>
    <col min="17" max="16384" width="14.5703125" style="763"/>
  </cols>
  <sheetData>
    <row r="1" spans="1:7" s="763" customFormat="1" ht="15.75">
      <c r="A1" s="1143" t="s">
        <v>114</v>
      </c>
      <c r="G1" s="764"/>
    </row>
    <row r="2" spans="1:7" s="763" customFormat="1" ht="15.75">
      <c r="A2" s="1143" t="s">
        <v>114</v>
      </c>
      <c r="G2" s="764"/>
    </row>
    <row r="3" spans="1:7" ht="19.5">
      <c r="B3" s="1332" t="s">
        <v>391</v>
      </c>
      <c r="C3" s="1332"/>
      <c r="D3" s="1332"/>
      <c r="E3" s="1332"/>
    </row>
    <row r="4" spans="1:7" ht="19.5">
      <c r="B4" s="1332" t="s">
        <v>776</v>
      </c>
      <c r="C4" s="1332"/>
      <c r="D4" s="1332"/>
      <c r="E4" s="1332"/>
    </row>
    <row r="5" spans="1:7" ht="19.5">
      <c r="B5" s="1332" t="s">
        <v>777</v>
      </c>
      <c r="C5" s="1332"/>
      <c r="D5" s="1332"/>
      <c r="E5" s="1332"/>
    </row>
    <row r="6" spans="1:7" ht="19.5">
      <c r="B6" s="1332" t="s">
        <v>1063</v>
      </c>
      <c r="C6" s="1332"/>
      <c r="D6" s="1332"/>
      <c r="E6" s="1332"/>
    </row>
    <row r="7" spans="1:7" ht="19.5">
      <c r="B7" s="1332" t="s">
        <v>778</v>
      </c>
      <c r="C7" s="1332"/>
      <c r="D7" s="1332"/>
      <c r="E7" s="1332"/>
    </row>
    <row r="8" spans="1:7" ht="19.5">
      <c r="B8" s="1332" t="s">
        <v>801</v>
      </c>
      <c r="C8" s="1332"/>
      <c r="D8" s="1332"/>
      <c r="E8" s="1332"/>
    </row>
    <row r="9" spans="1:7">
      <c r="B9" s="757"/>
      <c r="C9" s="757"/>
      <c r="D9" s="759" t="s">
        <v>114</v>
      </c>
    </row>
    <row r="10" spans="1:7">
      <c r="A10" s="1331"/>
      <c r="B10" s="1331"/>
      <c r="C10" s="1331"/>
      <c r="D10" s="1144"/>
    </row>
    <row r="11" spans="1:7" ht="15.75">
      <c r="A11" s="757"/>
      <c r="B11" s="771" t="s">
        <v>399</v>
      </c>
    </row>
    <row r="12" spans="1:7" ht="15.75">
      <c r="A12" s="759"/>
      <c r="B12" s="771" t="s">
        <v>403</v>
      </c>
      <c r="C12" s="771" t="s">
        <v>404</v>
      </c>
      <c r="D12" s="771"/>
    </row>
    <row r="13" spans="1:7" ht="15.75" thickBot="1">
      <c r="C13" s="772" t="s">
        <v>499</v>
      </c>
    </row>
    <row r="14" spans="1:7">
      <c r="A14" s="767" t="s">
        <v>406</v>
      </c>
      <c r="B14" s="768"/>
      <c r="C14" s="1120"/>
    </row>
    <row r="15" spans="1:7">
      <c r="A15" s="1146"/>
      <c r="D15" s="772"/>
    </row>
    <row r="16" spans="1:7">
      <c r="A16" s="763" t="s">
        <v>407</v>
      </c>
      <c r="B16" s="1147">
        <v>352</v>
      </c>
      <c r="C16" s="1068">
        <v>1.15E-2</v>
      </c>
      <c r="D16" s="772"/>
    </row>
    <row r="17" spans="1:4">
      <c r="A17" s="763" t="s">
        <v>408</v>
      </c>
      <c r="B17" s="1147">
        <v>353</v>
      </c>
      <c r="C17" s="1068">
        <v>2.2200000000000001E-2</v>
      </c>
      <c r="D17" s="772"/>
    </row>
    <row r="18" spans="1:4">
      <c r="A18" s="763" t="s">
        <v>409</v>
      </c>
      <c r="B18" s="1147">
        <v>354</v>
      </c>
      <c r="C18" s="1068">
        <v>2.6499999999999999E-2</v>
      </c>
      <c r="D18" s="772"/>
    </row>
    <row r="19" spans="1:4">
      <c r="A19" s="763" t="s">
        <v>410</v>
      </c>
      <c r="B19" s="1147">
        <v>355</v>
      </c>
      <c r="C19" s="1068">
        <v>2.41E-2</v>
      </c>
      <c r="D19" s="772"/>
    </row>
    <row r="20" spans="1:4">
      <c r="A20" s="763" t="s">
        <v>773</v>
      </c>
      <c r="B20" s="1147">
        <v>356</v>
      </c>
      <c r="C20" s="1068">
        <v>1.32E-2</v>
      </c>
      <c r="D20" s="772"/>
    </row>
    <row r="21" spans="1:4">
      <c r="A21" s="763" t="s">
        <v>411</v>
      </c>
      <c r="B21" s="1147">
        <v>351</v>
      </c>
      <c r="C21" s="1068">
        <v>9.9400000000000002E-2</v>
      </c>
      <c r="D21" s="772"/>
    </row>
    <row r="22" spans="1:4">
      <c r="A22" s="763" t="s">
        <v>412</v>
      </c>
      <c r="B22" s="1147">
        <v>351</v>
      </c>
      <c r="C22" s="1068">
        <v>0.13980000000000001</v>
      </c>
      <c r="D22" s="772"/>
    </row>
    <row r="23" spans="1:4">
      <c r="A23" s="763" t="s">
        <v>774</v>
      </c>
      <c r="B23" s="1147">
        <v>359</v>
      </c>
      <c r="C23" s="1145" t="s">
        <v>802</v>
      </c>
      <c r="D23" s="772"/>
    </row>
    <row r="24" spans="1:4" ht="15.75" thickBot="1">
      <c r="B24" s="1147"/>
      <c r="C24" s="1068"/>
      <c r="D24" s="772"/>
    </row>
    <row r="25" spans="1:4">
      <c r="A25" s="767" t="s">
        <v>804</v>
      </c>
      <c r="B25" s="768"/>
      <c r="C25" s="1120"/>
      <c r="D25" s="772"/>
    </row>
    <row r="26" spans="1:4" ht="15" customHeight="1">
      <c r="B26" s="1147"/>
      <c r="C26" s="1068"/>
      <c r="D26" s="772"/>
    </row>
    <row r="27" spans="1:4">
      <c r="A27" s="763" t="s">
        <v>805</v>
      </c>
      <c r="B27" s="1147">
        <v>390</v>
      </c>
      <c r="C27" s="1068">
        <v>1.0800000000000001E-2</v>
      </c>
      <c r="D27" s="772"/>
    </row>
    <row r="28" spans="1:4">
      <c r="A28" s="763" t="s">
        <v>806</v>
      </c>
      <c r="B28" s="1147">
        <v>391</v>
      </c>
      <c r="C28" s="1068">
        <v>2.1299999999999999E-2</v>
      </c>
      <c r="D28" s="772"/>
    </row>
    <row r="29" spans="1:4">
      <c r="A29" s="763" t="s">
        <v>807</v>
      </c>
      <c r="B29" s="1147">
        <v>393</v>
      </c>
      <c r="C29" s="1068">
        <v>1.78E-2</v>
      </c>
      <c r="D29" s="772"/>
    </row>
    <row r="30" spans="1:4" ht="15" customHeight="1">
      <c r="A30" s="763" t="s">
        <v>808</v>
      </c>
      <c r="B30" s="1147">
        <v>394</v>
      </c>
      <c r="C30" s="1068">
        <v>1.6500000000000001E-2</v>
      </c>
      <c r="D30" s="772"/>
    </row>
    <row r="31" spans="1:4">
      <c r="A31" s="763" t="s">
        <v>810</v>
      </c>
      <c r="B31" s="1147">
        <v>397</v>
      </c>
      <c r="C31" s="1068">
        <v>5.0900000000000001E-2</v>
      </c>
      <c r="D31" s="772"/>
    </row>
    <row r="32" spans="1:4">
      <c r="A32" s="763" t="s">
        <v>811</v>
      </c>
      <c r="B32" s="1147">
        <v>398</v>
      </c>
      <c r="C32" s="1068">
        <v>2.76E-2</v>
      </c>
      <c r="D32" s="772"/>
    </row>
    <row r="33" spans="1:4">
      <c r="B33" s="1147"/>
      <c r="C33" s="1068"/>
      <c r="D33" s="772"/>
    </row>
    <row r="34" spans="1:4">
      <c r="B34" s="1147"/>
      <c r="C34" s="1068"/>
      <c r="D34" s="772"/>
    </row>
    <row r="35" spans="1:4">
      <c r="B35" s="1147"/>
      <c r="C35" s="1068"/>
      <c r="D35" s="772"/>
    </row>
    <row r="36" spans="1:4">
      <c r="A36" s="1146"/>
      <c r="B36" s="757"/>
      <c r="C36" s="1068"/>
    </row>
    <row r="37" spans="1:4">
      <c r="A37" s="1330" t="s">
        <v>803</v>
      </c>
      <c r="B37" s="1330"/>
      <c r="C37" s="1330"/>
      <c r="D37" s="1330"/>
    </row>
    <row r="38" spans="1:4" ht="15.75">
      <c r="B38" s="769"/>
      <c r="C38" s="1159"/>
    </row>
    <row r="39" spans="1:4">
      <c r="A39" s="1330"/>
      <c r="B39" s="1330"/>
      <c r="C39" s="1330"/>
      <c r="D39" s="1330"/>
    </row>
    <row r="40" spans="1:4" ht="15.75">
      <c r="A40" s="770" t="s">
        <v>800</v>
      </c>
      <c r="B40" s="757"/>
      <c r="C40" s="1068"/>
    </row>
    <row r="41" spans="1:4">
      <c r="A41" s="1331" t="s">
        <v>820</v>
      </c>
      <c r="B41" s="1331"/>
      <c r="C41" s="1331"/>
      <c r="D41" s="1144"/>
    </row>
    <row r="42" spans="1:4">
      <c r="A42" s="1331"/>
      <c r="B42" s="1331"/>
      <c r="C42" s="1331"/>
      <c r="D42" s="1144"/>
    </row>
    <row r="43" spans="1:4">
      <c r="A43" s="1331"/>
      <c r="B43" s="1331"/>
      <c r="C43" s="1331"/>
      <c r="D43" s="1144"/>
    </row>
    <row r="44" spans="1:4">
      <c r="A44" s="1331"/>
      <c r="B44" s="1331"/>
      <c r="C44" s="1331"/>
      <c r="D44" s="1144"/>
    </row>
    <row r="45" spans="1:4">
      <c r="A45" s="1331"/>
      <c r="B45" s="1331"/>
      <c r="C45" s="1331"/>
      <c r="D45" s="1144"/>
    </row>
  </sheetData>
  <mergeCells count="10">
    <mergeCell ref="A10:C10"/>
    <mergeCell ref="A37:D37"/>
    <mergeCell ref="A39:D39"/>
    <mergeCell ref="A41:C45"/>
    <mergeCell ref="B3:E3"/>
    <mergeCell ref="B4:E4"/>
    <mergeCell ref="B5:E5"/>
    <mergeCell ref="B6:E6"/>
    <mergeCell ref="B7:E7"/>
    <mergeCell ref="B8:E8"/>
  </mergeCells>
  <conditionalFormatting sqref="B3:T4">
    <cfRule type="cellIs" dxfId="1" priority="2" stopIfTrue="1" operator="lessThan">
      <formula>0</formula>
    </cfRule>
  </conditionalFormatting>
  <conditionalFormatting sqref="C23">
    <cfRule type="cellIs" dxfId="0" priority="1" stopIfTrue="1" operator="lessThan">
      <formula>0</formula>
    </cfRule>
  </conditionalFormatting>
  <printOptions horizontalCentered="1"/>
  <pageMargins left="0.55000000000000004" right="0.55000000000000004" top="1.25" bottom="0.75" header="0.75" footer="0.27"/>
  <pageSetup scale="68" orientation="landscape" r:id="rId1"/>
  <headerFooter alignWithMargins="0">
    <oddHeader>&amp;RFormula Rate 
&amp;A
Page &amp;P of &amp;N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K57"/>
  <sheetViews>
    <sheetView view="pageBreakPreview" topLeftCell="A5" zoomScale="60" zoomScaleNormal="100" workbookViewId="0">
      <selection activeCell="D8" sqref="D8"/>
    </sheetView>
  </sheetViews>
  <sheetFormatPr defaultColWidth="8.85546875" defaultRowHeight="12.75" customHeight="1"/>
  <cols>
    <col min="1" max="1" width="42.28515625" customWidth="1"/>
    <col min="2" max="2" width="10.28515625" customWidth="1"/>
    <col min="3" max="3" width="3.28515625" customWidth="1"/>
    <col min="4" max="4" width="28.7109375" customWidth="1"/>
    <col min="5" max="5" width="4.7109375" customWidth="1"/>
    <col min="6" max="6" width="15.5703125" customWidth="1"/>
    <col min="8" max="8" width="21.140625" customWidth="1"/>
    <col min="9" max="9" width="17.42578125" customWidth="1"/>
    <col min="11" max="11" width="18.140625" customWidth="1"/>
  </cols>
  <sheetData>
    <row r="1" spans="1:11" ht="15.75">
      <c r="A1" s="1335" t="s">
        <v>387</v>
      </c>
      <c r="B1" s="1335"/>
      <c r="C1" s="1335"/>
      <c r="D1" s="1335"/>
      <c r="E1" s="1335"/>
      <c r="F1" s="1335"/>
      <c r="G1" s="1335"/>
      <c r="H1" s="1335"/>
      <c r="I1" s="1335"/>
      <c r="J1" s="1335"/>
      <c r="K1" s="1335"/>
    </row>
    <row r="2" spans="1:11" ht="15.75">
      <c r="A2" s="1334" t="s">
        <v>567</v>
      </c>
      <c r="B2" s="1334"/>
      <c r="C2" s="1334"/>
      <c r="D2" s="1334"/>
      <c r="E2" s="1334"/>
      <c r="F2" s="1334"/>
      <c r="G2" s="1334"/>
      <c r="H2" s="1334"/>
      <c r="I2" s="1334"/>
      <c r="J2" s="1334"/>
      <c r="K2" s="1334"/>
    </row>
    <row r="3" spans="1:11" ht="15.75">
      <c r="A3" s="1334" t="s">
        <v>568</v>
      </c>
      <c r="B3" s="1334"/>
      <c r="C3" s="1334"/>
      <c r="D3" s="1334"/>
      <c r="E3" s="1334"/>
      <c r="F3" s="1334"/>
      <c r="G3" s="1334"/>
      <c r="H3" s="1334"/>
      <c r="I3" s="1334"/>
      <c r="J3" s="1334"/>
      <c r="K3" s="1334"/>
    </row>
    <row r="4" spans="1:11" ht="15.75">
      <c r="A4" s="2"/>
      <c r="B4" s="2"/>
      <c r="C4" s="2"/>
      <c r="D4" s="1334"/>
      <c r="E4" s="1334"/>
      <c r="F4" s="1334"/>
      <c r="G4" s="1334"/>
      <c r="H4" s="2"/>
      <c r="I4" s="2"/>
      <c r="J4" s="2"/>
      <c r="K4" s="2"/>
    </row>
    <row r="5" spans="1:11"/>
    <row r="6" spans="1:11"/>
    <row r="7" spans="1:11" ht="16.5" thickBot="1">
      <c r="A7" s="501"/>
      <c r="B7" s="502"/>
      <c r="C7" s="502"/>
      <c r="D7" s="502"/>
      <c r="E7" s="502"/>
      <c r="F7" s="502"/>
      <c r="G7" s="502"/>
      <c r="H7" s="502"/>
      <c r="I7" s="502"/>
      <c r="J7" s="502"/>
      <c r="K7" s="502"/>
    </row>
    <row r="8" spans="1:11" ht="47.25">
      <c r="A8" s="503" t="str">
        <f>"Reconciliation Revenue Requirement For Year 2024 Available May 25, 2025"</f>
        <v>Reconciliation Revenue Requirement For Year 2024 Available May 25, 2025</v>
      </c>
      <c r="B8" s="502"/>
      <c r="C8" s="502"/>
      <c r="D8" s="503" t="s">
        <v>1202</v>
      </c>
      <c r="E8" s="502"/>
      <c r="F8" s="502"/>
      <c r="G8" s="2"/>
      <c r="H8" s="503" t="s">
        <v>548</v>
      </c>
      <c r="I8" s="2"/>
      <c r="J8" s="2"/>
      <c r="K8" s="2"/>
    </row>
    <row r="9" spans="1:11" ht="15.75">
      <c r="A9" s="504" t="s">
        <v>114</v>
      </c>
      <c r="B9" s="502"/>
      <c r="C9" s="502"/>
      <c r="D9" s="504"/>
      <c r="E9" s="502"/>
      <c r="F9" s="502"/>
      <c r="G9" s="2"/>
      <c r="H9" s="505"/>
      <c r="I9" s="2"/>
      <c r="J9" s="2"/>
      <c r="K9" s="2"/>
    </row>
    <row r="10" spans="1:11" ht="16.5" thickBot="1">
      <c r="A10" s="577">
        <v>490697744.37018979</v>
      </c>
      <c r="B10" s="506" t="str">
        <f>"-"</f>
        <v>-</v>
      </c>
      <c r="C10" s="507"/>
      <c r="D10" s="577">
        <v>492985840.83810771</v>
      </c>
      <c r="E10" s="508"/>
      <c r="F10" s="509" t="str">
        <f>"="</f>
        <v>=</v>
      </c>
      <c r="G10" s="510"/>
      <c r="H10" s="511">
        <f>IF(A10=0,0,D10-A10)</f>
        <v>2288096.4679179192</v>
      </c>
      <c r="I10" s="2"/>
      <c r="J10" s="2"/>
      <c r="K10" s="2"/>
    </row>
    <row r="11" spans="1:11" ht="15.75">
      <c r="A11" s="512"/>
      <c r="B11" s="513"/>
      <c r="C11" s="513"/>
      <c r="D11" s="512"/>
      <c r="E11" s="512"/>
      <c r="F11" s="513"/>
      <c r="G11" s="512"/>
      <c r="H11" s="2"/>
      <c r="I11" s="2"/>
      <c r="J11" s="2"/>
      <c r="K11" s="2"/>
    </row>
    <row r="12" spans="1:11" ht="16.5" thickBot="1">
      <c r="A12" s="514"/>
      <c r="B12" s="515"/>
      <c r="C12" s="515"/>
      <c r="D12" s="514"/>
      <c r="E12" s="514"/>
      <c r="F12" s="515"/>
      <c r="G12" s="514"/>
      <c r="H12" s="516"/>
      <c r="I12" s="516"/>
      <c r="J12" s="516"/>
      <c r="K12" s="516"/>
    </row>
    <row r="13" spans="1:11" ht="15.75">
      <c r="A13" s="517"/>
      <c r="B13" s="513"/>
      <c r="C13" s="513"/>
      <c r="D13" s="512"/>
      <c r="E13" s="512"/>
      <c r="F13" s="513"/>
      <c r="G13" s="512"/>
      <c r="H13" s="2"/>
      <c r="I13" s="2"/>
      <c r="J13" s="2"/>
      <c r="K13" s="2"/>
    </row>
    <row r="14" spans="1:11" ht="47.25">
      <c r="A14" s="518" t="s">
        <v>549</v>
      </c>
      <c r="B14" s="513"/>
      <c r="C14" s="513"/>
      <c r="D14" s="519" t="s">
        <v>550</v>
      </c>
      <c r="E14" s="512"/>
      <c r="F14" s="519" t="s">
        <v>551</v>
      </c>
      <c r="G14" s="520" t="s">
        <v>552</v>
      </c>
      <c r="H14" s="521" t="s">
        <v>553</v>
      </c>
      <c r="I14" s="519" t="s">
        <v>554</v>
      </c>
      <c r="J14" s="522"/>
      <c r="K14" s="519" t="s">
        <v>555</v>
      </c>
    </row>
    <row r="15" spans="1:11" ht="15.75">
      <c r="A15" s="518" t="s">
        <v>556</v>
      </c>
      <c r="B15" s="513"/>
      <c r="C15" s="513"/>
      <c r="D15" s="2"/>
      <c r="E15" s="523"/>
      <c r="F15" s="578">
        <v>6.8300000000000001E-3</v>
      </c>
      <c r="H15" s="2"/>
      <c r="I15" s="2"/>
      <c r="J15" s="2"/>
      <c r="K15" s="2"/>
    </row>
    <row r="16" spans="1:11" ht="15.75">
      <c r="A16" s="518"/>
      <c r="B16" s="513"/>
      <c r="C16" s="513"/>
      <c r="D16" s="2"/>
      <c r="E16" s="523"/>
      <c r="F16" s="523"/>
      <c r="G16" s="512"/>
      <c r="H16" s="2"/>
      <c r="I16" s="2"/>
      <c r="J16" s="2"/>
      <c r="K16" s="2"/>
    </row>
    <row r="17" spans="1:11" ht="15.75">
      <c r="A17" s="518" t="s">
        <v>1204</v>
      </c>
      <c r="B17" s="513"/>
      <c r="C17" s="513"/>
      <c r="D17" s="2"/>
      <c r="E17" s="523"/>
      <c r="F17" s="523"/>
      <c r="G17" s="512"/>
      <c r="H17" s="2"/>
      <c r="I17" s="2"/>
      <c r="J17" s="2"/>
      <c r="K17" s="2"/>
    </row>
    <row r="18" spans="1:11" ht="15.75">
      <c r="A18" s="524" t="s">
        <v>114</v>
      </c>
      <c r="B18" s="513"/>
      <c r="C18" s="513"/>
      <c r="D18" s="513"/>
      <c r="E18" s="513"/>
      <c r="F18" s="513" t="s">
        <v>114</v>
      </c>
      <c r="G18" s="2"/>
      <c r="H18" s="2"/>
      <c r="I18" s="2"/>
      <c r="J18" s="2"/>
      <c r="K18" s="2"/>
    </row>
    <row r="19" spans="1:11" ht="15.75">
      <c r="A19" s="525"/>
      <c r="B19" s="513"/>
      <c r="C19" s="513"/>
      <c r="D19" s="513"/>
      <c r="E19" s="513"/>
      <c r="F19" s="2"/>
      <c r="G19" s="2"/>
      <c r="H19" s="520"/>
      <c r="I19" s="513"/>
      <c r="J19" s="513"/>
      <c r="K19" s="513"/>
    </row>
    <row r="20" spans="1:11" ht="15.75">
      <c r="A20" s="525" t="s">
        <v>557</v>
      </c>
      <c r="B20" s="513"/>
      <c r="C20" s="513"/>
      <c r="D20" s="513"/>
      <c r="E20" s="513"/>
      <c r="F20" s="2"/>
      <c r="G20" s="2"/>
      <c r="H20" s="520" t="s">
        <v>558</v>
      </c>
      <c r="I20" s="513"/>
      <c r="J20" s="513"/>
      <c r="K20" s="513"/>
    </row>
    <row r="21" spans="1:11" ht="15.75">
      <c r="A21" s="502" t="s">
        <v>185</v>
      </c>
      <c r="B21" s="502" t="str">
        <f>"Year "&amp;TCOS!L4-2</f>
        <v>Year 2024</v>
      </c>
      <c r="C21" s="502"/>
      <c r="D21" s="526">
        <f>H10/12</f>
        <v>190674.70565982661</v>
      </c>
      <c r="E21" s="526"/>
      <c r="F21" s="527">
        <f>F15</f>
        <v>6.8300000000000001E-3</v>
      </c>
      <c r="G21" s="502">
        <v>12</v>
      </c>
      <c r="H21" s="526">
        <f>F21*D21*G21*-1</f>
        <v>-15627.698875879389</v>
      </c>
      <c r="I21" s="526"/>
      <c r="J21" s="526"/>
      <c r="K21" s="526">
        <f>(-H21+D21)*-1</f>
        <v>-206302.40453570598</v>
      </c>
    </row>
    <row r="22" spans="1:11" ht="15.75">
      <c r="A22" s="502" t="s">
        <v>559</v>
      </c>
      <c r="B22" s="502" t="str">
        <f>B21</f>
        <v>Year 2024</v>
      </c>
      <c r="C22" s="502"/>
      <c r="D22" s="526">
        <f>+D21</f>
        <v>190674.70565982661</v>
      </c>
      <c r="E22" s="526"/>
      <c r="F22" s="527">
        <f>+F21</f>
        <v>6.8300000000000001E-3</v>
      </c>
      <c r="G22" s="502">
        <f t="shared" ref="G22:G32" si="0">+G21-1</f>
        <v>11</v>
      </c>
      <c r="H22" s="526">
        <f t="shared" ref="H22:H32" si="1">F22*D22*G22*-1</f>
        <v>-14325.390636222774</v>
      </c>
      <c r="I22" s="526"/>
      <c r="J22" s="526"/>
      <c r="K22" s="526">
        <f t="shared" ref="K22:K32" si="2">(-H22+D22)*-1</f>
        <v>-205000.09629604939</v>
      </c>
    </row>
    <row r="23" spans="1:11" ht="15.75">
      <c r="A23" s="502" t="s">
        <v>186</v>
      </c>
      <c r="B23" s="502" t="str">
        <f t="shared" ref="B23:B32" si="3">B22</f>
        <v>Year 2024</v>
      </c>
      <c r="C23" s="502"/>
      <c r="D23" s="526">
        <f t="shared" ref="D23:D32" si="4">+D22</f>
        <v>190674.70565982661</v>
      </c>
      <c r="E23" s="526"/>
      <c r="F23" s="527">
        <f t="shared" ref="F23:F32" si="5">+F22</f>
        <v>6.8300000000000001E-3</v>
      </c>
      <c r="G23" s="502">
        <f t="shared" si="0"/>
        <v>10</v>
      </c>
      <c r="H23" s="526">
        <f t="shared" si="1"/>
        <v>-13023.082396566158</v>
      </c>
      <c r="I23" s="526"/>
      <c r="J23" s="526"/>
      <c r="K23" s="526">
        <f t="shared" si="2"/>
        <v>-203697.78805639278</v>
      </c>
    </row>
    <row r="24" spans="1:11" ht="15.75">
      <c r="A24" s="502" t="s">
        <v>187</v>
      </c>
      <c r="B24" s="502" t="str">
        <f t="shared" si="3"/>
        <v>Year 2024</v>
      </c>
      <c r="C24" s="502"/>
      <c r="D24" s="526">
        <f t="shared" si="4"/>
        <v>190674.70565982661</v>
      </c>
      <c r="E24" s="526"/>
      <c r="F24" s="527">
        <f t="shared" si="5"/>
        <v>6.8300000000000001E-3</v>
      </c>
      <c r="G24" s="502">
        <f t="shared" si="0"/>
        <v>9</v>
      </c>
      <c r="H24" s="526">
        <f t="shared" si="1"/>
        <v>-11720.774156909541</v>
      </c>
      <c r="I24" s="526"/>
      <c r="J24" s="526"/>
      <c r="K24" s="526">
        <f t="shared" si="2"/>
        <v>-202395.47981673616</v>
      </c>
    </row>
    <row r="25" spans="1:11" ht="15.75">
      <c r="A25" s="502" t="s">
        <v>188</v>
      </c>
      <c r="B25" s="502" t="str">
        <f t="shared" si="3"/>
        <v>Year 2024</v>
      </c>
      <c r="C25" s="502"/>
      <c r="D25" s="526">
        <f t="shared" si="4"/>
        <v>190674.70565982661</v>
      </c>
      <c r="E25" s="526"/>
      <c r="F25" s="527">
        <f t="shared" si="5"/>
        <v>6.8300000000000001E-3</v>
      </c>
      <c r="G25" s="502">
        <f t="shared" si="0"/>
        <v>8</v>
      </c>
      <c r="H25" s="526">
        <f t="shared" si="1"/>
        <v>-10418.465917252926</v>
      </c>
      <c r="I25" s="526"/>
      <c r="J25" s="526"/>
      <c r="K25" s="526">
        <f t="shared" si="2"/>
        <v>-201093.17157707954</v>
      </c>
    </row>
    <row r="26" spans="1:11" ht="15.75">
      <c r="A26" s="502" t="s">
        <v>382</v>
      </c>
      <c r="B26" s="502" t="str">
        <f t="shared" si="3"/>
        <v>Year 2024</v>
      </c>
      <c r="C26" s="502"/>
      <c r="D26" s="526">
        <f t="shared" si="4"/>
        <v>190674.70565982661</v>
      </c>
      <c r="E26" s="526"/>
      <c r="F26" s="527">
        <f t="shared" si="5"/>
        <v>6.8300000000000001E-3</v>
      </c>
      <c r="G26" s="502">
        <f t="shared" si="0"/>
        <v>7</v>
      </c>
      <c r="H26" s="526">
        <f t="shared" si="1"/>
        <v>-9116.1576775963113</v>
      </c>
      <c r="I26" s="526"/>
      <c r="J26" s="526"/>
      <c r="K26" s="526">
        <f t="shared" si="2"/>
        <v>-199790.86333742292</v>
      </c>
    </row>
    <row r="27" spans="1:11" ht="15.75">
      <c r="A27" s="502" t="s">
        <v>189</v>
      </c>
      <c r="B27" s="502" t="str">
        <f t="shared" si="3"/>
        <v>Year 2024</v>
      </c>
      <c r="C27" s="502"/>
      <c r="D27" s="526">
        <f t="shared" si="4"/>
        <v>190674.70565982661</v>
      </c>
      <c r="E27" s="526"/>
      <c r="F27" s="527">
        <f t="shared" si="5"/>
        <v>6.8300000000000001E-3</v>
      </c>
      <c r="G27" s="502">
        <f t="shared" si="0"/>
        <v>6</v>
      </c>
      <c r="H27" s="526">
        <f t="shared" si="1"/>
        <v>-7813.8494379396943</v>
      </c>
      <c r="I27" s="526"/>
      <c r="J27" s="526"/>
      <c r="K27" s="526">
        <f t="shared" si="2"/>
        <v>-198488.55509776631</v>
      </c>
    </row>
    <row r="28" spans="1:11" ht="15.75">
      <c r="A28" s="502" t="s">
        <v>190</v>
      </c>
      <c r="B28" s="502" t="str">
        <f t="shared" si="3"/>
        <v>Year 2024</v>
      </c>
      <c r="C28" s="502"/>
      <c r="D28" s="526">
        <f t="shared" si="4"/>
        <v>190674.70565982661</v>
      </c>
      <c r="E28" s="526"/>
      <c r="F28" s="527">
        <f t="shared" si="5"/>
        <v>6.8300000000000001E-3</v>
      </c>
      <c r="G28" s="502">
        <f t="shared" si="0"/>
        <v>5</v>
      </c>
      <c r="H28" s="526">
        <f t="shared" si="1"/>
        <v>-6511.5411982830792</v>
      </c>
      <c r="I28" s="526"/>
      <c r="J28" s="526"/>
      <c r="K28" s="526">
        <f t="shared" si="2"/>
        <v>-197186.24685810969</v>
      </c>
    </row>
    <row r="29" spans="1:11" ht="15.75">
      <c r="A29" s="502" t="s">
        <v>192</v>
      </c>
      <c r="B29" s="502" t="str">
        <f t="shared" si="3"/>
        <v>Year 2024</v>
      </c>
      <c r="C29" s="502"/>
      <c r="D29" s="526">
        <f t="shared" si="4"/>
        <v>190674.70565982661</v>
      </c>
      <c r="E29" s="526"/>
      <c r="F29" s="527">
        <f t="shared" si="5"/>
        <v>6.8300000000000001E-3</v>
      </c>
      <c r="G29" s="502">
        <f t="shared" si="0"/>
        <v>4</v>
      </c>
      <c r="H29" s="526">
        <f t="shared" si="1"/>
        <v>-5209.2329586264632</v>
      </c>
      <c r="I29" s="526"/>
      <c r="J29" s="526"/>
      <c r="K29" s="526">
        <f t="shared" si="2"/>
        <v>-195883.93861845307</v>
      </c>
    </row>
    <row r="30" spans="1:11" ht="15.75">
      <c r="A30" s="502" t="s">
        <v>560</v>
      </c>
      <c r="B30" s="502" t="str">
        <f t="shared" si="3"/>
        <v>Year 2024</v>
      </c>
      <c r="C30" s="502"/>
      <c r="D30" s="526">
        <f t="shared" si="4"/>
        <v>190674.70565982661</v>
      </c>
      <c r="E30" s="526"/>
      <c r="F30" s="527">
        <f t="shared" si="5"/>
        <v>6.8300000000000001E-3</v>
      </c>
      <c r="G30" s="502">
        <f t="shared" si="0"/>
        <v>3</v>
      </c>
      <c r="H30" s="526">
        <f t="shared" si="1"/>
        <v>-3906.9247189698472</v>
      </c>
      <c r="I30" s="526"/>
      <c r="J30" s="526"/>
      <c r="K30" s="526">
        <f t="shared" si="2"/>
        <v>-194581.63037879646</v>
      </c>
    </row>
    <row r="31" spans="1:11" ht="15.75">
      <c r="A31" s="502" t="s">
        <v>561</v>
      </c>
      <c r="B31" s="502" t="str">
        <f t="shared" si="3"/>
        <v>Year 2024</v>
      </c>
      <c r="C31" s="502"/>
      <c r="D31" s="526">
        <f t="shared" si="4"/>
        <v>190674.70565982661</v>
      </c>
      <c r="E31" s="526"/>
      <c r="F31" s="527">
        <f t="shared" si="5"/>
        <v>6.8300000000000001E-3</v>
      </c>
      <c r="G31" s="502">
        <f t="shared" si="0"/>
        <v>2</v>
      </c>
      <c r="H31" s="526">
        <f t="shared" si="1"/>
        <v>-2604.6164793132316</v>
      </c>
      <c r="I31" s="526"/>
      <c r="J31" s="526"/>
      <c r="K31" s="526">
        <f t="shared" si="2"/>
        <v>-193279.32213913984</v>
      </c>
    </row>
    <row r="32" spans="1:11" ht="15.75">
      <c r="A32" s="502" t="s">
        <v>191</v>
      </c>
      <c r="B32" s="502" t="str">
        <f t="shared" si="3"/>
        <v>Year 2024</v>
      </c>
      <c r="C32" s="502"/>
      <c r="D32" s="526">
        <f t="shared" si="4"/>
        <v>190674.70565982661</v>
      </c>
      <c r="E32" s="526"/>
      <c r="F32" s="527">
        <f t="shared" si="5"/>
        <v>6.8300000000000001E-3</v>
      </c>
      <c r="G32" s="502">
        <f t="shared" si="0"/>
        <v>1</v>
      </c>
      <c r="H32" s="528">
        <f t="shared" si="1"/>
        <v>-1302.3082396566158</v>
      </c>
      <c r="I32" s="526"/>
      <c r="J32" s="526"/>
      <c r="K32" s="526">
        <f t="shared" si="2"/>
        <v>-191977.01389948322</v>
      </c>
    </row>
    <row r="33" spans="1:11" ht="15.75">
      <c r="A33" s="502"/>
      <c r="B33" s="502"/>
      <c r="C33" s="502"/>
      <c r="D33" s="526"/>
      <c r="E33" s="526"/>
      <c r="F33" s="527"/>
      <c r="G33" s="502"/>
      <c r="H33" s="526">
        <f>SUM(H21:H32)</f>
        <v>-101580.04269321603</v>
      </c>
      <c r="I33" s="526"/>
      <c r="J33" s="526"/>
      <c r="K33" s="529">
        <f>SUM(K21:K32)</f>
        <v>-2389676.5106111355</v>
      </c>
    </row>
    <row r="34" spans="1:11" ht="15.75">
      <c r="A34" s="502"/>
      <c r="B34" s="502"/>
      <c r="C34" s="502"/>
      <c r="D34" s="526"/>
      <c r="E34" s="526"/>
      <c r="F34" s="527"/>
      <c r="G34" s="502"/>
      <c r="H34" s="526"/>
      <c r="I34" s="526" t="s">
        <v>114</v>
      </c>
      <c r="J34" s="526"/>
      <c r="K34" s="2"/>
    </row>
    <row r="35" spans="1:11" ht="15.75">
      <c r="A35" s="502"/>
      <c r="B35" s="502"/>
      <c r="C35" s="502"/>
      <c r="D35" s="512"/>
      <c r="E35" s="512"/>
      <c r="F35" s="527"/>
      <c r="G35" s="502"/>
      <c r="H35" s="530" t="s">
        <v>562</v>
      </c>
      <c r="I35" s="526"/>
      <c r="J35" s="526"/>
      <c r="K35" s="526"/>
    </row>
    <row r="36" spans="1:11" ht="15.75">
      <c r="A36" s="502" t="s">
        <v>563</v>
      </c>
      <c r="B36" s="502" t="str">
        <f>"Year "&amp;TCOS!L4-1</f>
        <v>Year 2025</v>
      </c>
      <c r="C36" s="502"/>
      <c r="D36" s="512">
        <f>K33</f>
        <v>-2389676.5106111355</v>
      </c>
      <c r="E36" s="512"/>
      <c r="F36" s="527">
        <f>F32</f>
        <v>6.8300000000000001E-3</v>
      </c>
      <c r="G36" s="502">
        <v>12</v>
      </c>
      <c r="H36" s="526">
        <f>+G36*F36*D36</f>
        <v>-195857.88680968867</v>
      </c>
      <c r="I36" s="526"/>
      <c r="J36" s="526"/>
      <c r="K36" s="529">
        <f>+D36+H36</f>
        <v>-2585534.397420824</v>
      </c>
    </row>
    <row r="37" spans="1:11" ht="15.75">
      <c r="A37" s="502"/>
      <c r="B37" s="502"/>
      <c r="C37" s="502"/>
      <c r="D37" s="512"/>
      <c r="E37" s="512"/>
      <c r="F37" s="527"/>
      <c r="G37" s="502"/>
      <c r="H37" s="526"/>
      <c r="I37" s="526"/>
      <c r="J37" s="526"/>
      <c r="K37" s="526"/>
    </row>
    <row r="38" spans="1:11" ht="15.75">
      <c r="A38" s="531" t="s">
        <v>564</v>
      </c>
      <c r="B38" s="502"/>
      <c r="C38" s="502"/>
      <c r="D38" s="526"/>
      <c r="E38" s="526"/>
      <c r="F38" s="527"/>
      <c r="G38" s="502"/>
      <c r="H38" s="530" t="s">
        <v>558</v>
      </c>
      <c r="I38" s="526"/>
      <c r="J38" s="526"/>
      <c r="K38" s="526"/>
    </row>
    <row r="39" spans="1:11" ht="15.75">
      <c r="A39" s="502" t="s">
        <v>185</v>
      </c>
      <c r="B39" s="502" t="str">
        <f>"Year "&amp;TCOS!L4</f>
        <v>Year 2026</v>
      </c>
      <c r="C39" s="502"/>
      <c r="D39" s="512">
        <f>-K36</f>
        <v>2585534.397420824</v>
      </c>
      <c r="E39" s="512"/>
      <c r="F39" s="527">
        <f>F15</f>
        <v>6.8300000000000001E-3</v>
      </c>
      <c r="G39" s="502"/>
      <c r="H39" s="526">
        <f xml:space="preserve"> -F39*D39</f>
        <v>-17659.199934384229</v>
      </c>
      <c r="I39" s="526">
        <f>PMT(F39,12,K$36)</f>
        <v>225145.95395818626</v>
      </c>
      <c r="J39" s="526"/>
      <c r="K39" s="526">
        <f>(+D39+D39*F39-I39)*-1</f>
        <v>-2378047.643397022</v>
      </c>
    </row>
    <row r="40" spans="1:11" ht="15.75">
      <c r="A40" s="502" t="s">
        <v>559</v>
      </c>
      <c r="B40" s="502" t="str">
        <f>+B39</f>
        <v>Year 2026</v>
      </c>
      <c r="C40" s="502"/>
      <c r="D40" s="512">
        <f>-K39</f>
        <v>2378047.643397022</v>
      </c>
      <c r="E40" s="512"/>
      <c r="F40" s="527">
        <f>+F39</f>
        <v>6.8300000000000001E-3</v>
      </c>
      <c r="G40" s="502"/>
      <c r="H40" s="526">
        <f xml:space="preserve"> -F40*D40</f>
        <v>-16242.065404401661</v>
      </c>
      <c r="I40" s="526">
        <f>I39</f>
        <v>225145.95395818626</v>
      </c>
      <c r="J40" s="526"/>
      <c r="K40" s="526">
        <f t="shared" ref="K40:K50" si="6">(+D40+D40*F40-I40)*-1</f>
        <v>-2169143.7548432373</v>
      </c>
    </row>
    <row r="41" spans="1:11" ht="15.75">
      <c r="A41" s="502" t="s">
        <v>186</v>
      </c>
      <c r="B41" s="502" t="str">
        <f>+B40</f>
        <v>Year 2026</v>
      </c>
      <c r="C41" s="502"/>
      <c r="D41" s="512">
        <f t="shared" ref="D41:D50" si="7">-K40</f>
        <v>2169143.7548432373</v>
      </c>
      <c r="E41" s="512"/>
      <c r="F41" s="527">
        <f t="shared" ref="F41:F50" si="8">+F40</f>
        <v>6.8300000000000001E-3</v>
      </c>
      <c r="G41" s="502"/>
      <c r="H41" s="526">
        <f t="shared" ref="H41:H50" si="9" xml:space="preserve"> -F41*D41</f>
        <v>-14815.251845579311</v>
      </c>
      <c r="I41" s="526">
        <f t="shared" ref="I41:I50" si="10">I40</f>
        <v>225145.95395818626</v>
      </c>
      <c r="J41" s="526"/>
      <c r="K41" s="526">
        <f t="shared" si="6"/>
        <v>-1958813.0527306302</v>
      </c>
    </row>
    <row r="42" spans="1:11" ht="15.75">
      <c r="A42" s="502" t="s">
        <v>187</v>
      </c>
      <c r="B42" s="502" t="str">
        <f>+B41</f>
        <v>Year 2026</v>
      </c>
      <c r="C42" s="502"/>
      <c r="D42" s="512">
        <f t="shared" si="7"/>
        <v>1958813.0527306302</v>
      </c>
      <c r="E42" s="512"/>
      <c r="F42" s="527">
        <f t="shared" si="8"/>
        <v>6.8300000000000001E-3</v>
      </c>
      <c r="G42" s="502"/>
      <c r="H42" s="526">
        <f t="shared" si="9"/>
        <v>-13378.693150150204</v>
      </c>
      <c r="I42" s="526">
        <f t="shared" si="10"/>
        <v>225145.95395818626</v>
      </c>
      <c r="J42" s="526"/>
      <c r="K42" s="526">
        <f t="shared" si="6"/>
        <v>-1747045.791922594</v>
      </c>
    </row>
    <row r="43" spans="1:11" ht="15.75">
      <c r="A43" s="502" t="s">
        <v>188</v>
      </c>
      <c r="B43" s="502" t="str">
        <f>+B42</f>
        <v>Year 2026</v>
      </c>
      <c r="C43" s="502"/>
      <c r="D43" s="512">
        <f t="shared" si="7"/>
        <v>1747045.791922594</v>
      </c>
      <c r="E43" s="512"/>
      <c r="F43" s="527">
        <f t="shared" si="8"/>
        <v>6.8300000000000001E-3</v>
      </c>
      <c r="G43" s="502"/>
      <c r="H43" s="526">
        <f t="shared" si="9"/>
        <v>-11932.322758831317</v>
      </c>
      <c r="I43" s="526">
        <f>I42</f>
        <v>225145.95395818626</v>
      </c>
      <c r="J43" s="526"/>
      <c r="K43" s="526">
        <f t="shared" si="6"/>
        <v>-1533832.160723239</v>
      </c>
    </row>
    <row r="44" spans="1:11" ht="15.75">
      <c r="A44" s="502" t="s">
        <v>382</v>
      </c>
      <c r="B44" s="502" t="str">
        <f>B43</f>
        <v>Year 2026</v>
      </c>
      <c r="C44" s="2"/>
      <c r="D44" s="512">
        <f t="shared" si="7"/>
        <v>1533832.160723239</v>
      </c>
      <c r="E44" s="512"/>
      <c r="F44" s="527">
        <f t="shared" si="8"/>
        <v>6.8300000000000001E-3</v>
      </c>
      <c r="G44" s="502"/>
      <c r="H44" s="526">
        <f t="shared" si="9"/>
        <v>-10476.073657739722</v>
      </c>
      <c r="I44" s="526">
        <f t="shared" si="10"/>
        <v>225145.95395818626</v>
      </c>
      <c r="J44" s="526"/>
      <c r="K44" s="526">
        <f t="shared" si="6"/>
        <v>-1319162.2804227923</v>
      </c>
    </row>
    <row r="45" spans="1:11" ht="15.75">
      <c r="A45" s="502" t="s">
        <v>189</v>
      </c>
      <c r="B45" s="502" t="str">
        <f t="shared" ref="B45:B50" si="11">+B44</f>
        <v>Year 2026</v>
      </c>
      <c r="C45" s="502"/>
      <c r="D45" s="512">
        <f t="shared" si="7"/>
        <v>1319162.2804227923</v>
      </c>
      <c r="E45" s="512"/>
      <c r="F45" s="527">
        <f t="shared" si="8"/>
        <v>6.8300000000000001E-3</v>
      </c>
      <c r="G45" s="502"/>
      <c r="H45" s="526">
        <f t="shared" si="9"/>
        <v>-9009.8783752876716</v>
      </c>
      <c r="I45" s="526">
        <f t="shared" si="10"/>
        <v>225145.95395818626</v>
      </c>
      <c r="J45" s="526"/>
      <c r="K45" s="526">
        <f t="shared" si="6"/>
        <v>-1103026.2048398936</v>
      </c>
    </row>
    <row r="46" spans="1:11" ht="15.75">
      <c r="A46" s="502" t="s">
        <v>190</v>
      </c>
      <c r="B46" s="502" t="str">
        <f t="shared" si="11"/>
        <v>Year 2026</v>
      </c>
      <c r="C46" s="502"/>
      <c r="D46" s="512">
        <f t="shared" si="7"/>
        <v>1103026.2048398936</v>
      </c>
      <c r="E46" s="512"/>
      <c r="F46" s="527">
        <f t="shared" si="8"/>
        <v>6.8300000000000001E-3</v>
      </c>
      <c r="G46" s="502"/>
      <c r="H46" s="526">
        <f t="shared" si="9"/>
        <v>-7533.6689790564733</v>
      </c>
      <c r="I46" s="526">
        <f t="shared" si="10"/>
        <v>225145.95395818626</v>
      </c>
      <c r="J46" s="526"/>
      <c r="K46" s="526">
        <f t="shared" si="6"/>
        <v>-885413.91986076371</v>
      </c>
    </row>
    <row r="47" spans="1:11" ht="15.75">
      <c r="A47" s="502" t="s">
        <v>192</v>
      </c>
      <c r="B47" s="502" t="str">
        <f t="shared" si="11"/>
        <v>Year 2026</v>
      </c>
      <c r="C47" s="502"/>
      <c r="D47" s="512">
        <f t="shared" si="7"/>
        <v>885413.91986076371</v>
      </c>
      <c r="E47" s="512"/>
      <c r="F47" s="527">
        <f t="shared" si="8"/>
        <v>6.8300000000000001E-3</v>
      </c>
      <c r="G47" s="502"/>
      <c r="H47" s="526">
        <f t="shared" si="9"/>
        <v>-6047.3770726490166</v>
      </c>
      <c r="I47" s="526">
        <f>I46</f>
        <v>225145.95395818626</v>
      </c>
      <c r="J47" s="526"/>
      <c r="K47" s="526">
        <f t="shared" si="6"/>
        <v>-666315.34297522646</v>
      </c>
    </row>
    <row r="48" spans="1:11" ht="15.75">
      <c r="A48" s="502" t="s">
        <v>560</v>
      </c>
      <c r="B48" s="502" t="str">
        <f t="shared" si="11"/>
        <v>Year 2026</v>
      </c>
      <c r="C48" s="502"/>
      <c r="D48" s="512">
        <f t="shared" si="7"/>
        <v>666315.34297522646</v>
      </c>
      <c r="E48" s="512"/>
      <c r="F48" s="527">
        <f t="shared" si="8"/>
        <v>6.8300000000000001E-3</v>
      </c>
      <c r="G48" s="502"/>
      <c r="H48" s="526">
        <f t="shared" si="9"/>
        <v>-4550.9337925207965</v>
      </c>
      <c r="I48" s="526">
        <f t="shared" si="10"/>
        <v>225145.95395818626</v>
      </c>
      <c r="J48" s="526"/>
      <c r="K48" s="526">
        <f t="shared" si="6"/>
        <v>-445720.32280956098</v>
      </c>
    </row>
    <row r="49" spans="1:11" ht="15.75">
      <c r="A49" s="502" t="s">
        <v>561</v>
      </c>
      <c r="B49" s="502" t="str">
        <f t="shared" si="11"/>
        <v>Year 2026</v>
      </c>
      <c r="C49" s="502"/>
      <c r="D49" s="512">
        <f t="shared" si="7"/>
        <v>445720.32280956098</v>
      </c>
      <c r="E49" s="512"/>
      <c r="F49" s="527">
        <f t="shared" si="8"/>
        <v>6.8300000000000001E-3</v>
      </c>
      <c r="G49" s="502"/>
      <c r="H49" s="526">
        <f t="shared" si="9"/>
        <v>-3044.2698047893014</v>
      </c>
      <c r="I49" s="526">
        <f t="shared" si="10"/>
        <v>225145.95395818626</v>
      </c>
      <c r="J49" s="526"/>
      <c r="K49" s="526">
        <f t="shared" si="6"/>
        <v>-223618.638656164</v>
      </c>
    </row>
    <row r="50" spans="1:11" ht="15.75">
      <c r="A50" s="502" t="s">
        <v>191</v>
      </c>
      <c r="B50" s="502" t="str">
        <f t="shared" si="11"/>
        <v>Year 2026</v>
      </c>
      <c r="C50" s="502"/>
      <c r="D50" s="512">
        <f t="shared" si="7"/>
        <v>223618.638656164</v>
      </c>
      <c r="E50" s="512"/>
      <c r="F50" s="527">
        <f t="shared" si="8"/>
        <v>6.8300000000000001E-3</v>
      </c>
      <c r="G50" s="502"/>
      <c r="H50" s="528">
        <f t="shared" si="9"/>
        <v>-1527.3153020216</v>
      </c>
      <c r="I50" s="526">
        <f t="shared" si="10"/>
        <v>225145.95395818626</v>
      </c>
      <c r="J50" s="526"/>
      <c r="K50" s="526">
        <f t="shared" si="6"/>
        <v>6.6938810050487518E-10</v>
      </c>
    </row>
    <row r="51" spans="1:11" ht="15.75">
      <c r="A51" s="502"/>
      <c r="B51" s="502"/>
      <c r="C51" s="502"/>
      <c r="D51" s="512"/>
      <c r="E51" s="512"/>
      <c r="F51" s="527"/>
      <c r="G51" s="502"/>
      <c r="H51" s="526">
        <f>SUM(H39:H50)</f>
        <v>-116217.0500774113</v>
      </c>
      <c r="I51" s="526"/>
      <c r="J51" s="526"/>
      <c r="K51" s="526"/>
    </row>
    <row r="52" spans="1:11" ht="15">
      <c r="A52" s="2"/>
      <c r="B52" s="2"/>
      <c r="C52" s="2"/>
      <c r="D52" s="2"/>
      <c r="E52" s="2"/>
      <c r="F52" s="2"/>
      <c r="G52" s="2"/>
      <c r="H52" s="2"/>
      <c r="I52" s="532"/>
      <c r="J52" s="2"/>
      <c r="K52" s="2"/>
    </row>
    <row r="53" spans="1:11" ht="15.75">
      <c r="A53" s="502" t="s">
        <v>569</v>
      </c>
      <c r="B53" s="2"/>
      <c r="C53" s="2"/>
      <c r="D53" s="2"/>
      <c r="E53" s="2"/>
      <c r="F53" s="2"/>
      <c r="G53" s="2"/>
      <c r="H53" s="2"/>
      <c r="I53" s="533">
        <f>(SUM(I39:I50)*-1)</f>
        <v>-2701751.4474982354</v>
      </c>
      <c r="J53" s="2"/>
      <c r="K53" s="2"/>
    </row>
    <row r="54" spans="1:11" ht="15.75">
      <c r="A54" s="502" t="s">
        <v>565</v>
      </c>
      <c r="B54" s="2"/>
      <c r="C54" s="2"/>
      <c r="D54" s="2"/>
      <c r="E54" s="2"/>
      <c r="F54" s="2"/>
      <c r="G54" s="2"/>
      <c r="H54" s="2"/>
      <c r="I54" s="534">
        <f>+H10</f>
        <v>2288096.4679179192</v>
      </c>
      <c r="J54" s="2"/>
      <c r="K54" s="2"/>
    </row>
    <row r="55" spans="1:11" ht="15.75">
      <c r="A55" s="502" t="s">
        <v>566</v>
      </c>
      <c r="B55" s="2"/>
      <c r="C55" s="2"/>
      <c r="D55" s="2"/>
      <c r="E55" s="2"/>
      <c r="F55" s="2"/>
      <c r="G55" s="2"/>
      <c r="H55" s="2"/>
      <c r="I55" s="533">
        <f>(I53+I54)</f>
        <v>-413654.97958031623</v>
      </c>
      <c r="J55" s="2"/>
      <c r="K55" s="2"/>
    </row>
    <row r="56" spans="1:11"/>
    <row r="57" spans="1:11" ht="126.75" customHeight="1">
      <c r="A57" s="1336" t="s">
        <v>570</v>
      </c>
      <c r="B57" s="1336"/>
      <c r="C57" s="1336"/>
      <c r="D57" s="1336"/>
      <c r="E57" s="535"/>
      <c r="F57" s="535"/>
      <c r="G57" s="535"/>
      <c r="H57" s="535"/>
      <c r="I57" s="535"/>
      <c r="J57" s="535"/>
      <c r="K57" s="535"/>
    </row>
  </sheetData>
  <mergeCells count="5">
    <mergeCell ref="A3:K3"/>
    <mergeCell ref="A1:K1"/>
    <mergeCell ref="A2:K2"/>
    <mergeCell ref="D4:G4"/>
    <mergeCell ref="A57:D57"/>
  </mergeCell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I57"/>
  <sheetViews>
    <sheetView zoomScaleNormal="100" zoomScaleSheetLayoutView="100" workbookViewId="0">
      <selection activeCell="F16" sqref="F16"/>
    </sheetView>
  </sheetViews>
  <sheetFormatPr defaultRowHeight="12.75" customHeight="1"/>
  <cols>
    <col min="2" max="2" width="0.85546875" customWidth="1"/>
    <col min="3" max="3" width="41.5703125" customWidth="1"/>
    <col min="4" max="4" width="34.42578125" bestFit="1" customWidth="1"/>
    <col min="5" max="5" width="23.140625" customWidth="1"/>
    <col min="6" max="6" width="3.140625" customWidth="1"/>
    <col min="7" max="7" width="24.5703125" customWidth="1"/>
    <col min="8" max="8" width="2.85546875" customWidth="1"/>
    <col min="9" max="9" width="20.85546875" customWidth="1"/>
    <col min="10" max="12" width="9.140625" customWidth="1"/>
    <col min="16" max="18" width="9.140625" customWidth="1"/>
  </cols>
  <sheetData>
    <row r="1" spans="1:9" ht="15.75">
      <c r="A1" s="581"/>
      <c r="B1" s="20"/>
      <c r="C1" s="13"/>
      <c r="D1" s="13"/>
      <c r="E1" s="13"/>
      <c r="F1" s="13"/>
      <c r="G1" s="13"/>
      <c r="H1" s="13"/>
      <c r="I1" s="13"/>
    </row>
    <row r="2" spans="1:9" ht="15.75">
      <c r="A2" s="581"/>
      <c r="B2" s="20"/>
      <c r="C2" s="13"/>
      <c r="D2" s="13"/>
      <c r="E2" s="13"/>
      <c r="F2" s="13"/>
      <c r="G2" s="13"/>
      <c r="H2" s="13"/>
      <c r="I2" s="13"/>
    </row>
    <row r="3" spans="1:9" ht="15">
      <c r="A3" s="1235" t="s">
        <v>387</v>
      </c>
      <c r="B3" s="1235"/>
      <c r="C3" s="1235"/>
      <c r="D3" s="1235"/>
      <c r="E3" s="1235"/>
      <c r="F3" s="1235"/>
      <c r="G3" s="1235"/>
      <c r="H3" s="1235"/>
      <c r="I3" s="1235"/>
    </row>
    <row r="4" spans="1:9" ht="15">
      <c r="A4" s="1236" t="str">
        <f>"Cost of Service Formula Rate Using Actual/Projected FF1 Balances"</f>
        <v>Cost of Service Formula Rate Using Actual/Projected FF1 Balances</v>
      </c>
      <c r="B4" s="1236"/>
      <c r="C4" s="1236"/>
      <c r="D4" s="1236"/>
      <c r="E4" s="1236"/>
      <c r="F4" s="1236"/>
      <c r="G4" s="1236"/>
      <c r="H4" s="1236"/>
      <c r="I4" s="1236"/>
    </row>
    <row r="5" spans="1:9" ht="15">
      <c r="A5" s="1236" t="s">
        <v>471</v>
      </c>
      <c r="B5" s="1236"/>
      <c r="C5" s="1236"/>
      <c r="D5" s="1236"/>
      <c r="E5" s="1236"/>
      <c r="F5" s="1236"/>
      <c r="G5" s="1236"/>
      <c r="H5" s="1236"/>
      <c r="I5" s="1236"/>
    </row>
    <row r="6" spans="1:9" ht="15">
      <c r="A6" s="1247" t="str">
        <f>TCOS!F9</f>
        <v>Appalachian Power Company</v>
      </c>
      <c r="B6" s="1247"/>
      <c r="C6" s="1247"/>
      <c r="D6" s="1247"/>
      <c r="E6" s="1247"/>
      <c r="F6" s="1247"/>
      <c r="G6" s="1247"/>
      <c r="H6" s="1247"/>
      <c r="I6" s="1247"/>
    </row>
    <row r="7" spans="1:9">
      <c r="A7" s="13"/>
      <c r="B7" s="20"/>
      <c r="C7" s="18"/>
      <c r="D7" s="18"/>
      <c r="E7" s="13"/>
      <c r="F7" s="13"/>
      <c r="G7" s="13"/>
      <c r="H7" s="13"/>
      <c r="I7" s="13"/>
    </row>
    <row r="8" spans="1:9">
      <c r="A8" s="13"/>
      <c r="B8" s="20"/>
      <c r="C8" s="5" t="s">
        <v>162</v>
      </c>
      <c r="D8" s="5" t="s">
        <v>163</v>
      </c>
      <c r="E8" s="5" t="s">
        <v>164</v>
      </c>
      <c r="F8" s="13"/>
      <c r="G8" s="5" t="s">
        <v>165</v>
      </c>
      <c r="H8" s="13"/>
      <c r="I8" s="5" t="s">
        <v>84</v>
      </c>
    </row>
    <row r="9" spans="1:9">
      <c r="A9" s="64"/>
      <c r="B9" s="20"/>
      <c r="C9" s="13"/>
      <c r="D9" s="13"/>
      <c r="E9" s="13"/>
      <c r="F9" s="13"/>
      <c r="G9" s="13"/>
      <c r="H9" s="13"/>
      <c r="I9" s="10"/>
    </row>
    <row r="10" spans="1:9" ht="12.75" customHeight="1">
      <c r="A10" s="9" t="s">
        <v>169</v>
      </c>
      <c r="B10" s="20"/>
      <c r="C10" s="19"/>
      <c r="D10" s="19"/>
      <c r="E10" s="1245" t="str">
        <f>"Balance @ December 31, "&amp;TCOS!L4&amp;""</f>
        <v>Balance @ December 31, 2026</v>
      </c>
      <c r="F10" s="97"/>
      <c r="G10" s="1245" t="str">
        <f>"Balance @ December 31, "&amp;TCOS!L4-1&amp;""</f>
        <v>Balance @ December 31, 2025</v>
      </c>
      <c r="H10" s="97"/>
      <c r="I10" s="1248" t="str">
        <f>"Average Balance for "&amp;TCOS!L4&amp;""</f>
        <v>Average Balance for 2026</v>
      </c>
    </row>
    <row r="11" spans="1:9">
      <c r="A11" s="9" t="s">
        <v>106</v>
      </c>
      <c r="B11" s="8"/>
      <c r="C11" s="9" t="s">
        <v>167</v>
      </c>
      <c r="D11" s="9" t="s">
        <v>206</v>
      </c>
      <c r="E11" s="1246"/>
      <c r="F11" s="60"/>
      <c r="G11" s="1246"/>
      <c r="H11" s="154"/>
      <c r="I11" s="1246"/>
    </row>
    <row r="12" spans="1:9">
      <c r="A12" s="64"/>
      <c r="B12" s="20"/>
      <c r="C12" s="18"/>
      <c r="D12" s="18"/>
      <c r="E12" s="13"/>
      <c r="F12" s="13"/>
      <c r="G12" s="164"/>
      <c r="H12" s="13"/>
      <c r="I12" s="13"/>
    </row>
    <row r="13" spans="1:9">
      <c r="A13" s="64"/>
      <c r="B13" s="20"/>
      <c r="C13" s="18"/>
      <c r="D13" s="18"/>
      <c r="E13" s="13"/>
      <c r="F13" s="13"/>
      <c r="G13" s="13"/>
      <c r="H13" s="13"/>
      <c r="I13" s="13"/>
    </row>
    <row r="14" spans="1:9">
      <c r="A14" s="64"/>
      <c r="B14" s="20"/>
      <c r="C14" s="18"/>
      <c r="D14" s="18"/>
      <c r="E14" s="13"/>
      <c r="F14" s="13"/>
      <c r="G14" s="13"/>
      <c r="H14" s="13"/>
      <c r="I14" s="13"/>
    </row>
    <row r="15" spans="1:9" ht="15.75">
      <c r="A15" s="64">
        <v>1</v>
      </c>
      <c r="B15" s="20"/>
      <c r="C15" s="34" t="s">
        <v>509</v>
      </c>
      <c r="D15" s="34"/>
      <c r="E15" s="13"/>
      <c r="F15" s="13"/>
      <c r="G15" s="13"/>
      <c r="H15" s="13"/>
      <c r="I15" s="13"/>
    </row>
    <row r="16" spans="1:9" ht="15.75">
      <c r="A16" s="64"/>
      <c r="B16" s="20"/>
      <c r="C16" s="34"/>
      <c r="D16" s="34"/>
      <c r="E16" s="13"/>
      <c r="F16" s="13"/>
      <c r="G16" s="13"/>
      <c r="I16" s="13"/>
    </row>
    <row r="17" spans="1:9">
      <c r="A17" s="64">
        <f>+A15+1</f>
        <v>2</v>
      </c>
      <c r="B17" s="20"/>
      <c r="C17" s="42" t="s">
        <v>515</v>
      </c>
      <c r="D17" s="59" t="s">
        <v>517</v>
      </c>
      <c r="E17" s="890">
        <v>194459091.69999999</v>
      </c>
      <c r="F17" s="893"/>
      <c r="G17" s="890">
        <v>194459091.69999999</v>
      </c>
      <c r="I17" s="94">
        <f>IF(G17="",0,(E17+G17)/2)</f>
        <v>194459091.69999999</v>
      </c>
    </row>
    <row r="18" spans="1:9">
      <c r="A18" s="64">
        <f>+A17+1</f>
        <v>3</v>
      </c>
      <c r="B18" s="20"/>
      <c r="C18" s="42" t="s">
        <v>519</v>
      </c>
      <c r="D18" s="64" t="str">
        <f>"WS B-1 - Actual Stmt. AF Ln. " &amp;'WS B-1 - Actual Stmt. AF'!A24&amp;" (Note 1)"</f>
        <v>WS B-1 - Actual Stmt. AF Ln. 4 (Note 1)</v>
      </c>
      <c r="E18" s="890">
        <v>0</v>
      </c>
      <c r="F18" s="893"/>
      <c r="G18" s="890">
        <v>0</v>
      </c>
      <c r="I18" s="94">
        <f>IF(G18="",0,(E18+G18)/2)</f>
        <v>0</v>
      </c>
    </row>
    <row r="19" spans="1:9" ht="15">
      <c r="A19" s="64">
        <f>+A18+1</f>
        <v>4</v>
      </c>
      <c r="B19" s="20"/>
      <c r="C19" s="42" t="s">
        <v>520</v>
      </c>
      <c r="D19" s="64" t="str">
        <f>"WS B-1 - Actual Stmt. AF Ln. " &amp;'WS B-1 - Actual Stmt. AF'!A23&amp;" (Note 1)"</f>
        <v>WS B-1 - Actual Stmt. AF Ln. 3 (Note 1)</v>
      </c>
      <c r="E19" s="892">
        <v>194459091.69999999</v>
      </c>
      <c r="F19" s="893"/>
      <c r="G19" s="892">
        <v>194459091.69999999</v>
      </c>
      <c r="H19" s="13"/>
      <c r="I19" s="143">
        <f>IF(G19="",0,(E19+G19)/2)</f>
        <v>194459091.69999999</v>
      </c>
    </row>
    <row r="20" spans="1:9">
      <c r="A20" s="64">
        <f>+A19+1</f>
        <v>5</v>
      </c>
      <c r="B20" s="20"/>
      <c r="C20" s="42" t="s">
        <v>516</v>
      </c>
      <c r="D20" s="98" t="str">
        <f>"Ln "&amp;A17&amp;" - ln "&amp;A18&amp;" - ln "&amp;A19&amp;""</f>
        <v>Ln 2 - ln 3 - ln 4</v>
      </c>
      <c r="E20" s="994">
        <f>+E17-E18-E19</f>
        <v>0</v>
      </c>
      <c r="F20" s="100"/>
      <c r="G20" s="994">
        <f>+G17-G18-G19</f>
        <v>0</v>
      </c>
      <c r="H20" s="13"/>
      <c r="I20" s="94">
        <f>+I17-I18-I19</f>
        <v>0</v>
      </c>
    </row>
    <row r="21" spans="1:9">
      <c r="A21" s="64"/>
      <c r="B21" s="20"/>
      <c r="C21" s="42"/>
      <c r="D21" s="98"/>
      <c r="E21" s="100"/>
      <c r="F21" s="100"/>
      <c r="G21" s="100"/>
      <c r="H21" s="13"/>
      <c r="I21" s="13"/>
    </row>
    <row r="22" spans="1:9">
      <c r="A22" s="64"/>
      <c r="B22" s="20"/>
      <c r="C22" s="42"/>
      <c r="D22" s="98"/>
      <c r="E22" s="100"/>
      <c r="F22" s="100"/>
      <c r="G22" s="100"/>
      <c r="H22" s="13"/>
      <c r="I22" s="13"/>
    </row>
    <row r="23" spans="1:9" ht="15.75">
      <c r="A23" s="64">
        <f>+A20+1</f>
        <v>6</v>
      </c>
      <c r="B23" s="20"/>
      <c r="C23" s="34" t="s">
        <v>510</v>
      </c>
      <c r="D23" s="98"/>
      <c r="E23" s="100"/>
      <c r="F23" s="100"/>
      <c r="G23" s="100"/>
      <c r="H23" s="13"/>
      <c r="I23" s="13"/>
    </row>
    <row r="24" spans="1:9">
      <c r="A24" s="64"/>
      <c r="B24" s="20"/>
      <c r="C24" s="42"/>
      <c r="D24" s="98"/>
      <c r="E24" s="100"/>
      <c r="F24" s="100"/>
      <c r="G24" s="100"/>
      <c r="H24" s="13"/>
      <c r="I24" s="13"/>
    </row>
    <row r="25" spans="1:9">
      <c r="A25" s="64">
        <f>+A23+1</f>
        <v>7</v>
      </c>
      <c r="B25" s="20"/>
      <c r="C25" s="42" t="s">
        <v>515</v>
      </c>
      <c r="D25" s="59" t="s">
        <v>449</v>
      </c>
      <c r="E25" s="890">
        <v>1950077273.8234773</v>
      </c>
      <c r="F25" s="893"/>
      <c r="G25" s="890">
        <v>1854504518.6688995</v>
      </c>
      <c r="I25" s="94">
        <f>IF(G25="",0,(E25+G25)/2)</f>
        <v>1902290896.2461884</v>
      </c>
    </row>
    <row r="26" spans="1:9">
      <c r="A26" s="64">
        <f>+A25+1</f>
        <v>8</v>
      </c>
      <c r="B26" s="20"/>
      <c r="C26" s="42" t="s">
        <v>519</v>
      </c>
      <c r="D26" s="64" t="str">
        <f>"WS B-1 - Actual Stmt. AF Ln. " &amp;'WS B-1 - Actual Stmt. AF'!A72&amp;" (Note 1)"</f>
        <v>WS B-1 - Actual Stmt. AF Ln. 7 (Note 1)</v>
      </c>
      <c r="E26" s="890">
        <v>36366780.229999997</v>
      </c>
      <c r="F26" s="893"/>
      <c r="G26" s="890">
        <v>36366780.229999997</v>
      </c>
      <c r="I26" s="94">
        <f>IF(G26="",0,(E26+G26)/2)</f>
        <v>36366780.229999997</v>
      </c>
    </row>
    <row r="27" spans="1:9" ht="15">
      <c r="A27" s="64">
        <f>+A26+1</f>
        <v>9</v>
      </c>
      <c r="B27" s="20"/>
      <c r="C27" s="42" t="s">
        <v>520</v>
      </c>
      <c r="D27" s="64" t="str">
        <f>"WS B-1 - Actual Stmt. AF Ln. " &amp;'WS B-1 - Actual Stmt. AF'!A71&amp;" (Note 1)"</f>
        <v>WS B-1 - Actual Stmt. AF Ln. 6 (Note 1)</v>
      </c>
      <c r="E27" s="892">
        <v>1277338297.7735748</v>
      </c>
      <c r="F27" s="893"/>
      <c r="G27" s="892">
        <v>1196517947.7529554</v>
      </c>
      <c r="H27" s="13"/>
      <c r="I27" s="143">
        <f>IF(G27="",0,(E27+G27)/2)</f>
        <v>1236928122.7632651</v>
      </c>
    </row>
    <row r="28" spans="1:9">
      <c r="A28" s="64">
        <f>+A27+1</f>
        <v>10</v>
      </c>
      <c r="B28" s="20"/>
      <c r="C28" s="42" t="s">
        <v>516</v>
      </c>
      <c r="D28" s="98" t="str">
        <f>"Ln "&amp;A25&amp;" - ln "&amp;A26&amp;" - ln "&amp;A27&amp;""</f>
        <v>Ln 7 - ln 8 - ln 9</v>
      </c>
      <c r="E28" s="994">
        <f>+E25-E26-E27</f>
        <v>636372195.81990242</v>
      </c>
      <c r="F28" s="100"/>
      <c r="G28" s="994">
        <f>+G25-G26-G27</f>
        <v>621619790.68594408</v>
      </c>
      <c r="H28" s="13"/>
      <c r="I28" s="94">
        <f>+I25-I26-I27</f>
        <v>628995993.25292325</v>
      </c>
    </row>
    <row r="29" spans="1:9">
      <c r="A29" s="64"/>
      <c r="B29" s="20"/>
      <c r="C29" s="42"/>
      <c r="D29" s="98"/>
      <c r="E29" s="100"/>
      <c r="F29" s="100"/>
      <c r="G29" s="100"/>
      <c r="H29" s="13"/>
      <c r="I29" s="13"/>
    </row>
    <row r="30" spans="1:9">
      <c r="A30" s="64"/>
      <c r="B30" s="20"/>
      <c r="C30" s="42"/>
      <c r="D30" s="98"/>
      <c r="E30" s="994"/>
      <c r="F30" s="100"/>
      <c r="G30" s="994"/>
      <c r="H30" s="13"/>
      <c r="I30" s="13"/>
    </row>
    <row r="31" spans="1:9" ht="15.75">
      <c r="A31" s="64">
        <f>+A28+1</f>
        <v>11</v>
      </c>
      <c r="B31" s="20"/>
      <c r="C31" s="34" t="s">
        <v>511</v>
      </c>
      <c r="D31" s="98"/>
      <c r="E31" s="100"/>
      <c r="F31" s="100"/>
      <c r="G31" s="100"/>
      <c r="H31" s="13"/>
      <c r="I31" s="13"/>
    </row>
    <row r="32" spans="1:9" ht="15.75">
      <c r="A32" s="64"/>
      <c r="B32" s="20"/>
      <c r="C32" s="34"/>
      <c r="D32" s="98"/>
      <c r="E32" s="100"/>
      <c r="F32" s="100"/>
      <c r="G32" s="100"/>
      <c r="H32" s="13"/>
      <c r="I32" s="13"/>
    </row>
    <row r="33" spans="1:9">
      <c r="A33" s="64">
        <f>+A31+1</f>
        <v>12</v>
      </c>
      <c r="B33" s="20"/>
      <c r="C33" s="42" t="s">
        <v>515</v>
      </c>
      <c r="D33" s="59" t="s">
        <v>518</v>
      </c>
      <c r="E33" s="890">
        <v>361410671.23613036</v>
      </c>
      <c r="F33" s="893"/>
      <c r="G33" s="890">
        <v>419150935.20218307</v>
      </c>
      <c r="I33" s="94">
        <f>IF(G33="",0,(E33+G33)/2)</f>
        <v>390280803.21915674</v>
      </c>
    </row>
    <row r="34" spans="1:9">
      <c r="A34" s="64">
        <f>+A33+1</f>
        <v>13</v>
      </c>
      <c r="B34" s="20"/>
      <c r="C34" s="42" t="s">
        <v>519</v>
      </c>
      <c r="D34" s="64" t="str">
        <f>"WS B-1 - Actual Stmt. AF Ln. " &amp;'WS B-1 - Actual Stmt. AF'!A184&amp;" (Note 1)"</f>
        <v>WS B-1 - Actual Stmt. AF Ln. 13 (Note 1)</v>
      </c>
      <c r="E34" s="890">
        <v>123834306.03</v>
      </c>
      <c r="F34" s="893"/>
      <c r="G34" s="890">
        <v>123834306.03</v>
      </c>
      <c r="I34" s="94">
        <f>IF(G34="",0,(E34+G34)/2)</f>
        <v>123834306.03</v>
      </c>
    </row>
    <row r="35" spans="1:9" ht="15">
      <c r="A35" s="64">
        <f>+A34+1</f>
        <v>14</v>
      </c>
      <c r="B35" s="20"/>
      <c r="C35" s="42" t="s">
        <v>520</v>
      </c>
      <c r="D35" s="64" t="str">
        <f>"WS B-1 - Actual Stmt. AF Ln. " &amp;'WS B-1 - Actual Stmt. AF'!A183&amp;" (Note 1)"</f>
        <v>WS B-1 - Actual Stmt. AF Ln. 12 (Note 1)</v>
      </c>
      <c r="E35" s="892">
        <v>204064986.0898698</v>
      </c>
      <c r="F35" s="893"/>
      <c r="G35" s="892">
        <v>257951662.25688648</v>
      </c>
      <c r="H35" s="13"/>
      <c r="I35" s="143">
        <f>IF(G35="",0,(E35+G35)/2)</f>
        <v>231008324.17337814</v>
      </c>
    </row>
    <row r="36" spans="1:9">
      <c r="A36" s="64">
        <f>+A35+1</f>
        <v>15</v>
      </c>
      <c r="B36" s="20"/>
      <c r="C36" s="42" t="s">
        <v>516</v>
      </c>
      <c r="D36" s="98" t="str">
        <f>"Ln "&amp;A33&amp;" - ln "&amp;A34&amp;" - ln "&amp;A35&amp;""</f>
        <v>Ln 12 - ln 13 - ln 14</v>
      </c>
      <c r="E36" s="994">
        <f>+E33-E34-E35</f>
        <v>33511379.116260558</v>
      </c>
      <c r="F36" s="100"/>
      <c r="G36" s="994">
        <f>+G33-G34-G35</f>
        <v>37364966.915296555</v>
      </c>
      <c r="H36" s="13"/>
      <c r="I36" s="94">
        <f>+I33-I34-I35</f>
        <v>35438173.015778601</v>
      </c>
    </row>
    <row r="37" spans="1:9" ht="15.75">
      <c r="A37" s="64"/>
      <c r="B37" s="20"/>
      <c r="C37" s="34"/>
      <c r="D37" s="98"/>
      <c r="E37" s="100"/>
      <c r="F37" s="100"/>
      <c r="G37" s="100"/>
      <c r="H37" s="13"/>
      <c r="I37" s="13"/>
    </row>
    <row r="38" spans="1:9">
      <c r="A38" s="64"/>
      <c r="B38" s="20"/>
      <c r="C38" s="42"/>
      <c r="D38" s="98"/>
      <c r="E38" s="100"/>
      <c r="F38" s="100"/>
      <c r="G38" s="100"/>
      <c r="H38" s="13"/>
      <c r="I38" s="13"/>
    </row>
    <row r="39" spans="1:9" ht="15.75">
      <c r="A39" s="64">
        <f>+A36+1</f>
        <v>16</v>
      </c>
      <c r="B39" s="20"/>
      <c r="C39" s="34" t="s">
        <v>512</v>
      </c>
      <c r="D39" s="98"/>
      <c r="E39" s="100"/>
      <c r="F39" s="100"/>
      <c r="G39" s="100"/>
      <c r="H39" s="13"/>
      <c r="I39" s="13"/>
    </row>
    <row r="40" spans="1:9">
      <c r="A40" s="64"/>
      <c r="B40" s="20"/>
      <c r="C40" s="42"/>
      <c r="D40" s="98"/>
      <c r="E40" s="100"/>
      <c r="F40" s="100"/>
      <c r="G40" s="100"/>
      <c r="H40" s="13"/>
      <c r="I40" s="13"/>
    </row>
    <row r="41" spans="1:9">
      <c r="A41" s="64">
        <f>+A39+1</f>
        <v>17</v>
      </c>
      <c r="B41" s="20"/>
      <c r="C41" s="42" t="s">
        <v>515</v>
      </c>
      <c r="D41" s="59" t="s">
        <v>514</v>
      </c>
      <c r="E41" s="890">
        <v>213644620.4954837</v>
      </c>
      <c r="F41" s="893"/>
      <c r="G41" s="890">
        <v>203703057.44086653</v>
      </c>
      <c r="I41" s="94">
        <f>IF(G41="",0,(E41+G41)/2)</f>
        <v>208673838.96817511</v>
      </c>
    </row>
    <row r="42" spans="1:9">
      <c r="A42" s="64">
        <f>+A41+1</f>
        <v>18</v>
      </c>
      <c r="B42" s="20"/>
      <c r="C42" s="42" t="s">
        <v>519</v>
      </c>
      <c r="D42" s="64" t="str">
        <f>"WS B-2 - Actual Stmt. AG Ln. " &amp;'WS B-2 - Actual Stmt. AG'!A110&amp;" (Note 1)"</f>
        <v>WS B-2 - Actual Stmt. AG Ln. 4 (Note 1)</v>
      </c>
      <c r="E42" s="890">
        <v>168362031.26999998</v>
      </c>
      <c r="F42" s="893"/>
      <c r="G42" s="890">
        <v>168362031.26999998</v>
      </c>
      <c r="I42" s="94">
        <f>IF(G42="",0,(E42+G42)/2)</f>
        <v>168362031.26999998</v>
      </c>
    </row>
    <row r="43" spans="1:9" ht="15">
      <c r="A43" s="64">
        <f>+A42+1</f>
        <v>19</v>
      </c>
      <c r="B43" s="20"/>
      <c r="C43" s="42" t="s">
        <v>520</v>
      </c>
      <c r="D43" s="64" t="str">
        <f>"WS B-2 - Actual Stmt. AG Ln. " &amp;'WS B-2 - Actual Stmt. AG'!A109&amp;" (Note 1)"</f>
        <v>WS B-2 - Actual Stmt. AG Ln. 3 (Note 1)</v>
      </c>
      <c r="E43" s="892">
        <v>32298519.310694776</v>
      </c>
      <c r="F43" s="893"/>
      <c r="G43" s="892">
        <v>22961990.376854546</v>
      </c>
      <c r="H43" s="13"/>
      <c r="I43" s="143">
        <f>IF(G43="",0,(E43+G43)/2)</f>
        <v>27630254.843774661</v>
      </c>
    </row>
    <row r="44" spans="1:9">
      <c r="A44" s="64">
        <f>+A43+1</f>
        <v>20</v>
      </c>
      <c r="B44" s="20"/>
      <c r="C44" s="42" t="s">
        <v>516</v>
      </c>
      <c r="D44" s="98" t="str">
        <f>"Ln "&amp;A41&amp;" - ln "&amp;A42&amp;" - ln "&amp;A43&amp;""</f>
        <v>Ln 17 - ln 18 - ln 19</v>
      </c>
      <c r="E44" s="994">
        <f>+E41-E42-E43</f>
        <v>12984069.914788939</v>
      </c>
      <c r="F44" s="100"/>
      <c r="G44" s="994">
        <f>+G41-G42-G43</f>
        <v>12379035.794012003</v>
      </c>
      <c r="H44" s="13"/>
      <c r="I44" s="94">
        <f>+I41-I42-I43</f>
        <v>12681552.854400471</v>
      </c>
    </row>
    <row r="45" spans="1:9">
      <c r="A45" s="64"/>
      <c r="B45" s="20"/>
      <c r="C45" s="42"/>
      <c r="D45" s="98"/>
      <c r="E45" s="100"/>
      <c r="F45" s="100"/>
      <c r="G45" s="100"/>
      <c r="H45" s="13"/>
      <c r="I45" s="13"/>
    </row>
    <row r="46" spans="1:9">
      <c r="A46" s="64"/>
      <c r="B46" s="20"/>
      <c r="C46" s="42"/>
      <c r="D46" s="98"/>
      <c r="E46" s="100"/>
      <c r="F46" s="100"/>
      <c r="G46" s="100"/>
      <c r="H46" s="13"/>
      <c r="I46" s="13"/>
    </row>
    <row r="47" spans="1:9" ht="15.75">
      <c r="A47" s="64">
        <f>+A44+1</f>
        <v>21</v>
      </c>
      <c r="B47" s="20"/>
      <c r="C47" s="34" t="s">
        <v>513</v>
      </c>
      <c r="D47" s="98"/>
      <c r="E47" s="100"/>
      <c r="F47" s="100"/>
      <c r="G47" s="100"/>
      <c r="H47" s="13"/>
      <c r="I47" s="13"/>
    </row>
    <row r="48" spans="1:9">
      <c r="A48" s="64"/>
      <c r="B48" s="20"/>
      <c r="C48" s="42"/>
      <c r="D48" s="98"/>
      <c r="E48" s="100"/>
      <c r="F48" s="100"/>
      <c r="G48" s="100"/>
      <c r="H48" s="13"/>
      <c r="I48" s="13"/>
    </row>
    <row r="49" spans="1:9">
      <c r="A49" s="64">
        <f>+A47+1</f>
        <v>22</v>
      </c>
      <c r="B49" s="20"/>
      <c r="C49" s="42" t="s">
        <v>521</v>
      </c>
      <c r="D49" s="59" t="s">
        <v>470</v>
      </c>
      <c r="E49" s="890">
        <v>264549</v>
      </c>
      <c r="F49" s="893"/>
      <c r="G49" s="890">
        <v>264549</v>
      </c>
      <c r="I49" s="94">
        <f>IF(G49="",0,(E49+G49)/2)</f>
        <v>264549</v>
      </c>
    </row>
    <row r="50" spans="1:9" ht="15">
      <c r="A50" s="64">
        <f>+A49+1</f>
        <v>23</v>
      </c>
      <c r="B50" s="20"/>
      <c r="C50" s="42" t="s">
        <v>522</v>
      </c>
      <c r="D50" s="64" t="s">
        <v>67</v>
      </c>
      <c r="E50" s="892">
        <v>264018</v>
      </c>
      <c r="F50" s="893"/>
      <c r="G50" s="892">
        <v>264018</v>
      </c>
      <c r="I50" s="143">
        <f>IF(G50="",0,(E50+G50)/2)</f>
        <v>264018</v>
      </c>
    </row>
    <row r="51" spans="1:9">
      <c r="A51" s="64">
        <f>+A50+1</f>
        <v>24</v>
      </c>
      <c r="B51" s="20"/>
      <c r="C51" s="42" t="s">
        <v>388</v>
      </c>
      <c r="D51" s="98" t="str">
        <f>"Ln "&amp;A49&amp;" - ln "&amp;A50&amp;""</f>
        <v>Ln 22 - ln 23</v>
      </c>
      <c r="E51" s="994">
        <f>+E49-E50</f>
        <v>531</v>
      </c>
      <c r="F51" s="100"/>
      <c r="G51" s="994">
        <f>+G49-G50</f>
        <v>531</v>
      </c>
      <c r="I51" s="94">
        <f>+I49-I50</f>
        <v>531</v>
      </c>
    </row>
    <row r="52" spans="1:9">
      <c r="A52" s="64">
        <f>+A51+1</f>
        <v>25</v>
      </c>
      <c r="B52" s="20"/>
      <c r="C52" s="42" t="s">
        <v>516</v>
      </c>
      <c r="D52" s="64" t="str">
        <f>"WS B-1 - Actual Stmt. AF Ln. " &amp;'WS B-1 - Actual Stmt. AF'!A197&amp;" (Note 1)"</f>
        <v>WS B-1 - Actual Stmt. AF Ln. 20 (Note 1)</v>
      </c>
      <c r="E52" s="890">
        <v>531</v>
      </c>
      <c r="F52" s="893"/>
      <c r="G52" s="890">
        <v>531</v>
      </c>
      <c r="I52" s="94">
        <f>IF(G52="",0,(E52+G52)/2)</f>
        <v>531</v>
      </c>
    </row>
    <row r="53" spans="1:9">
      <c r="A53" s="64"/>
      <c r="B53" s="20"/>
      <c r="C53" s="42"/>
      <c r="D53" s="42"/>
      <c r="E53" s="13"/>
      <c r="F53" s="13"/>
      <c r="G53" s="13"/>
      <c r="H53" s="13"/>
      <c r="I53" s="13"/>
    </row>
    <row r="54" spans="1:9">
      <c r="A54" s="51" t="s">
        <v>68</v>
      </c>
      <c r="B54" s="20"/>
      <c r="C54" s="1244" t="s">
        <v>813</v>
      </c>
      <c r="D54" s="1244"/>
      <c r="E54" s="1244"/>
      <c r="F54" s="1244"/>
      <c r="G54" s="1244"/>
      <c r="H54" s="1244"/>
      <c r="I54" s="1244"/>
    </row>
    <row r="55" spans="1:9">
      <c r="A55" s="51"/>
      <c r="B55" s="20"/>
      <c r="C55" s="1244"/>
      <c r="D55" s="1244"/>
      <c r="E55" s="1244"/>
      <c r="F55" s="1244"/>
      <c r="G55" s="1244"/>
      <c r="H55" s="1244"/>
      <c r="I55" s="1244"/>
    </row>
    <row r="56" spans="1:9">
      <c r="A56" s="64"/>
      <c r="B56" s="20"/>
      <c r="C56" s="42"/>
      <c r="D56" s="42"/>
      <c r="E56" s="13"/>
      <c r="F56" s="13"/>
      <c r="G56" s="13"/>
      <c r="H56" s="13"/>
      <c r="I56" s="13"/>
    </row>
    <row r="57" spans="1:9">
      <c r="A57" s="64" t="s">
        <v>69</v>
      </c>
      <c r="B57" s="20" t="s">
        <v>70</v>
      </c>
      <c r="C57" s="42"/>
      <c r="D57" s="42"/>
      <c r="E57" s="13"/>
      <c r="F57" s="13"/>
      <c r="G57" s="13"/>
      <c r="H57" s="13"/>
      <c r="I57" s="13"/>
    </row>
  </sheetData>
  <mergeCells count="8">
    <mergeCell ref="C54:I55"/>
    <mergeCell ref="A3:I3"/>
    <mergeCell ref="A4:I4"/>
    <mergeCell ref="A5:I5"/>
    <mergeCell ref="E10:E11"/>
    <mergeCell ref="A6:I6"/>
    <mergeCell ref="G10:G11"/>
    <mergeCell ref="I10:I11"/>
  </mergeCells>
  <phoneticPr fontId="0" type="noConversion"/>
  <pageMargins left="0.26" right="0.59" top="1" bottom="1" header="0.75" footer="0.5"/>
  <pageSetup scale="62" orientation="portrait" r:id="rId1"/>
  <headerFooter alignWithMargins="0">
    <oddHeader>&amp;R&amp;"Arial,Bold"Formula Rate
 &amp;A
Page &amp;P of &amp;N</oddHeader>
  </headerFooter>
  <rowBreaks count="1" manualBreakCount="1">
    <brk id="6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K57"/>
  <sheetViews>
    <sheetView view="pageBreakPreview" topLeftCell="A3" zoomScale="60" zoomScaleNormal="100" workbookViewId="0">
      <selection activeCell="F16" sqref="F16"/>
    </sheetView>
  </sheetViews>
  <sheetFormatPr defaultRowHeight="12.75" customHeight="1"/>
  <cols>
    <col min="1" max="1" width="27" customWidth="1"/>
    <col min="4" max="4" width="27" customWidth="1"/>
    <col min="6" max="6" width="13.140625" customWidth="1"/>
    <col min="8" max="8" width="21.7109375" customWidth="1"/>
    <col min="9" max="9" width="17.7109375" customWidth="1"/>
    <col min="11" max="11" width="18.7109375" customWidth="1"/>
  </cols>
  <sheetData>
    <row r="1" spans="1:11" ht="15.75">
      <c r="A1" s="1335" t="s">
        <v>387</v>
      </c>
      <c r="B1" s="1335"/>
      <c r="C1" s="1335"/>
      <c r="D1" s="1335"/>
      <c r="E1" s="1335"/>
      <c r="F1" s="1335"/>
      <c r="G1" s="1335"/>
      <c r="H1" s="1335"/>
      <c r="I1" s="1335"/>
      <c r="J1" s="1335"/>
      <c r="K1" s="1335"/>
    </row>
    <row r="2" spans="1:11" ht="15.75">
      <c r="A2" s="1334" t="s">
        <v>567</v>
      </c>
      <c r="B2" s="1334"/>
      <c r="C2" s="1334"/>
      <c r="D2" s="1334"/>
      <c r="E2" s="1334"/>
      <c r="F2" s="1334"/>
      <c r="G2" s="1334"/>
      <c r="H2" s="1334"/>
      <c r="I2" s="1334"/>
      <c r="J2" s="1334"/>
      <c r="K2" s="1334"/>
    </row>
    <row r="3" spans="1:11" ht="15.75">
      <c r="A3" s="1334" t="s">
        <v>568</v>
      </c>
      <c r="B3" s="1334"/>
      <c r="C3" s="1334"/>
      <c r="D3" s="1334"/>
      <c r="E3" s="1334"/>
      <c r="F3" s="1334"/>
      <c r="G3" s="1334"/>
      <c r="H3" s="1334"/>
      <c r="I3" s="1334"/>
      <c r="J3" s="1334"/>
      <c r="K3" s="1334"/>
    </row>
    <row r="4" spans="1:11" ht="15.75">
      <c r="A4" s="2"/>
      <c r="B4" s="2"/>
      <c r="C4" s="2"/>
      <c r="D4" s="1334"/>
      <c r="E4" s="1334"/>
      <c r="F4" s="1334"/>
      <c r="G4" s="1334"/>
      <c r="H4" s="2"/>
      <c r="I4" s="2"/>
      <c r="J4" s="2"/>
      <c r="K4" s="2"/>
    </row>
    <row r="5" spans="1:11"/>
    <row r="6" spans="1:11"/>
    <row r="7" spans="1:11" ht="16.5" thickBot="1">
      <c r="A7" s="501"/>
      <c r="B7" s="502"/>
      <c r="C7" s="502"/>
      <c r="D7" s="502"/>
      <c r="E7" s="502"/>
      <c r="F7" s="502"/>
      <c r="G7" s="502"/>
      <c r="H7" s="502"/>
      <c r="I7" s="502"/>
      <c r="J7" s="502"/>
      <c r="K7" s="502"/>
    </row>
    <row r="8" spans="1:11" ht="47.25">
      <c r="A8" s="503" t="str">
        <f>'WS Q NITS'!A8</f>
        <v>Reconciliation Revenue Requirement For Year 2024 Available May 25, 2025</v>
      </c>
      <c r="B8" s="502"/>
      <c r="C8" s="502"/>
      <c r="D8" s="503" t="str">
        <f>'WS Q NITS'!D8</f>
        <v>2024 Forecasted Revenue Requirement For Year 2024</v>
      </c>
      <c r="E8" s="502"/>
      <c r="F8" s="502"/>
      <c r="G8" s="2"/>
      <c r="H8" s="503" t="s">
        <v>548</v>
      </c>
      <c r="I8" s="2"/>
      <c r="J8" s="2"/>
      <c r="K8" s="2"/>
    </row>
    <row r="9" spans="1:11" ht="15.75">
      <c r="A9" s="504" t="s">
        <v>114</v>
      </c>
      <c r="B9" s="502"/>
      <c r="C9" s="502"/>
      <c r="D9" s="504"/>
      <c r="E9" s="502"/>
      <c r="F9" s="502"/>
      <c r="G9" s="2"/>
      <c r="H9" s="505"/>
      <c r="I9" s="2"/>
      <c r="J9" s="2"/>
      <c r="K9" s="2"/>
    </row>
    <row r="10" spans="1:11" ht="16.5" thickBot="1">
      <c r="A10" s="577">
        <v>28840980.072897781</v>
      </c>
      <c r="B10" s="506" t="str">
        <f>"-"</f>
        <v>-</v>
      </c>
      <c r="C10" s="507"/>
      <c r="D10" s="577">
        <v>28118028.103649396</v>
      </c>
      <c r="E10" s="508"/>
      <c r="F10" s="509" t="str">
        <f>"="</f>
        <v>=</v>
      </c>
      <c r="G10" s="510"/>
      <c r="H10" s="511">
        <f>IF(A10=0,0,D10-A10)</f>
        <v>-722951.96924838424</v>
      </c>
      <c r="I10" s="2"/>
      <c r="J10" s="2"/>
      <c r="K10" s="2"/>
    </row>
    <row r="11" spans="1:11" ht="15.75">
      <c r="A11" s="512"/>
      <c r="B11" s="513"/>
      <c r="C11" s="513"/>
      <c r="D11" s="512"/>
      <c r="E11" s="512"/>
      <c r="F11" s="513"/>
      <c r="G11" s="512"/>
      <c r="H11" s="2"/>
      <c r="I11" s="2"/>
      <c r="J11" s="2"/>
      <c r="K11" s="2"/>
    </row>
    <row r="12" spans="1:11" ht="16.5" thickBot="1">
      <c r="A12" s="514"/>
      <c r="B12" s="515"/>
      <c r="C12" s="515"/>
      <c r="D12" s="514"/>
      <c r="E12" s="514"/>
      <c r="F12" s="515"/>
      <c r="G12" s="514"/>
      <c r="H12" s="516"/>
      <c r="I12" s="516"/>
      <c r="J12" s="516"/>
      <c r="K12" s="516"/>
    </row>
    <row r="13" spans="1:11" ht="15.75">
      <c r="A13" s="517"/>
      <c r="B13" s="513"/>
      <c r="C13" s="513"/>
      <c r="D13" s="512"/>
      <c r="E13" s="512"/>
      <c r="F13" s="513"/>
      <c r="G13" s="512"/>
      <c r="H13" s="2"/>
      <c r="I13" s="2"/>
      <c r="J13" s="2"/>
      <c r="K13" s="2"/>
    </row>
    <row r="14" spans="1:11" ht="47.25">
      <c r="A14" s="518" t="s">
        <v>549</v>
      </c>
      <c r="B14" s="513"/>
      <c r="C14" s="513"/>
      <c r="D14" s="519" t="s">
        <v>550</v>
      </c>
      <c r="E14" s="512"/>
      <c r="F14" s="519" t="s">
        <v>551</v>
      </c>
      <c r="G14" s="520" t="s">
        <v>552</v>
      </c>
      <c r="H14" s="521" t="s">
        <v>553</v>
      </c>
      <c r="I14" s="519" t="s">
        <v>554</v>
      </c>
      <c r="J14" s="522"/>
      <c r="K14" s="519" t="s">
        <v>555</v>
      </c>
    </row>
    <row r="15" spans="1:11" ht="15.75">
      <c r="A15" s="518" t="s">
        <v>556</v>
      </c>
      <c r="B15" s="513"/>
      <c r="C15" s="513"/>
      <c r="D15" s="2"/>
      <c r="E15" s="523"/>
      <c r="F15" s="578">
        <v>6.8300000000000001E-3</v>
      </c>
      <c r="H15" s="2"/>
      <c r="I15" s="2"/>
      <c r="J15" s="2"/>
      <c r="K15" s="2"/>
    </row>
    <row r="16" spans="1:11" ht="15.75">
      <c r="A16" s="518"/>
      <c r="B16" s="513"/>
      <c r="C16" s="513"/>
      <c r="D16" s="2"/>
      <c r="E16" s="523"/>
      <c r="F16" s="523"/>
      <c r="G16" s="512"/>
      <c r="H16" s="2"/>
      <c r="I16" s="2"/>
      <c r="J16" s="2"/>
      <c r="K16" s="2"/>
    </row>
    <row r="17" spans="1:11" ht="15.75">
      <c r="A17" s="518" t="str">
        <f>'WS Q NITS'!A17</f>
        <v>An over or under collection will be recovered prorata over 2024, held for 2025 and returned prorate over 2026</v>
      </c>
      <c r="B17" s="513"/>
      <c r="C17" s="513"/>
      <c r="D17" s="2"/>
      <c r="E17" s="523"/>
      <c r="F17" s="523"/>
      <c r="G17" s="512"/>
      <c r="H17" s="2"/>
      <c r="I17" s="2"/>
      <c r="J17" s="2"/>
      <c r="K17" s="2"/>
    </row>
    <row r="18" spans="1:11" ht="15.75">
      <c r="A18" s="524" t="s">
        <v>114</v>
      </c>
      <c r="B18" s="513"/>
      <c r="C18" s="513"/>
      <c r="D18" s="513"/>
      <c r="E18" s="513"/>
      <c r="F18" s="513" t="s">
        <v>114</v>
      </c>
      <c r="G18" s="2"/>
      <c r="H18" s="2"/>
      <c r="I18" s="2"/>
      <c r="J18" s="2"/>
      <c r="K18" s="2"/>
    </row>
    <row r="19" spans="1:11" ht="15.75">
      <c r="A19" s="525"/>
      <c r="B19" s="513"/>
      <c r="C19" s="513"/>
      <c r="D19" s="513"/>
      <c r="E19" s="513"/>
      <c r="F19" s="2"/>
      <c r="G19" s="2"/>
      <c r="H19" s="520"/>
      <c r="I19" s="513"/>
      <c r="J19" s="513"/>
      <c r="K19" s="513"/>
    </row>
    <row r="20" spans="1:11" ht="15.75">
      <c r="A20" s="525" t="s">
        <v>557</v>
      </c>
      <c r="B20" s="513"/>
      <c r="C20" s="513"/>
      <c r="D20" s="513"/>
      <c r="E20" s="513"/>
      <c r="F20" s="2"/>
      <c r="G20" s="2"/>
      <c r="H20" s="520" t="s">
        <v>558</v>
      </c>
      <c r="I20" s="513"/>
      <c r="J20" s="513"/>
      <c r="K20" s="513"/>
    </row>
    <row r="21" spans="1:11" ht="15.75">
      <c r="A21" s="502" t="s">
        <v>185</v>
      </c>
      <c r="B21" s="502" t="str">
        <f>"Year "&amp;TCOS!L4-2</f>
        <v>Year 2024</v>
      </c>
      <c r="C21" s="502"/>
      <c r="D21" s="526">
        <f>H10/12</f>
        <v>-60245.997437365353</v>
      </c>
      <c r="E21" s="526"/>
      <c r="F21" s="527">
        <f>F15</f>
        <v>6.8300000000000001E-3</v>
      </c>
      <c r="G21" s="513">
        <v>12</v>
      </c>
      <c r="H21" s="526">
        <f>F21*D21*G21*-1</f>
        <v>4937.7619499664643</v>
      </c>
      <c r="I21" s="526"/>
      <c r="J21" s="526"/>
      <c r="K21" s="526">
        <f>(-H21+D21)*-1</f>
        <v>65183.759387331818</v>
      </c>
    </row>
    <row r="22" spans="1:11" ht="15.75">
      <c r="A22" s="502" t="s">
        <v>559</v>
      </c>
      <c r="B22" s="502" t="str">
        <f>B21</f>
        <v>Year 2024</v>
      </c>
      <c r="C22" s="502"/>
      <c r="D22" s="526">
        <f>+D21</f>
        <v>-60245.997437365353</v>
      </c>
      <c r="E22" s="526"/>
      <c r="F22" s="527">
        <f>+F21</f>
        <v>6.8300000000000001E-3</v>
      </c>
      <c r="G22" s="513">
        <f t="shared" ref="G22:G32" si="0">+G21-1</f>
        <v>11</v>
      </c>
      <c r="H22" s="526">
        <f t="shared" ref="H22:H32" si="1">F22*D22*G22*-1</f>
        <v>4526.2817874692591</v>
      </c>
      <c r="I22" s="526"/>
      <c r="J22" s="526"/>
      <c r="K22" s="526">
        <f t="shared" ref="K22:K32" si="2">(-H22+D22)*-1</f>
        <v>64772.279224834609</v>
      </c>
    </row>
    <row r="23" spans="1:11" ht="15.75">
      <c r="A23" s="502" t="s">
        <v>186</v>
      </c>
      <c r="B23" s="502" t="str">
        <f t="shared" ref="B23:B32" si="3">B22</f>
        <v>Year 2024</v>
      </c>
      <c r="C23" s="502"/>
      <c r="D23" s="526">
        <f t="shared" ref="D23:D32" si="4">+D22</f>
        <v>-60245.997437365353</v>
      </c>
      <c r="E23" s="526"/>
      <c r="F23" s="527">
        <f t="shared" ref="F23:F32" si="5">+F22</f>
        <v>6.8300000000000001E-3</v>
      </c>
      <c r="G23" s="513">
        <f t="shared" si="0"/>
        <v>10</v>
      </c>
      <c r="H23" s="526">
        <f t="shared" si="1"/>
        <v>4114.8016249720531</v>
      </c>
      <c r="I23" s="526"/>
      <c r="J23" s="526"/>
      <c r="K23" s="526">
        <f t="shared" si="2"/>
        <v>64360.799062337406</v>
      </c>
    </row>
    <row r="24" spans="1:11" ht="15.75">
      <c r="A24" s="502" t="s">
        <v>187</v>
      </c>
      <c r="B24" s="502" t="str">
        <f t="shared" si="3"/>
        <v>Year 2024</v>
      </c>
      <c r="C24" s="502"/>
      <c r="D24" s="526">
        <f t="shared" si="4"/>
        <v>-60245.997437365353</v>
      </c>
      <c r="E24" s="526"/>
      <c r="F24" s="527">
        <f t="shared" si="5"/>
        <v>6.8300000000000001E-3</v>
      </c>
      <c r="G24" s="513">
        <f t="shared" si="0"/>
        <v>9</v>
      </c>
      <c r="H24" s="526">
        <f t="shared" si="1"/>
        <v>3703.321462474848</v>
      </c>
      <c r="I24" s="526"/>
      <c r="J24" s="526"/>
      <c r="K24" s="526">
        <f t="shared" si="2"/>
        <v>63949.318899840204</v>
      </c>
    </row>
    <row r="25" spans="1:11" ht="15.75">
      <c r="A25" s="502" t="s">
        <v>188</v>
      </c>
      <c r="B25" s="502" t="str">
        <f t="shared" si="3"/>
        <v>Year 2024</v>
      </c>
      <c r="C25" s="502"/>
      <c r="D25" s="526">
        <f t="shared" si="4"/>
        <v>-60245.997437365353</v>
      </c>
      <c r="E25" s="526"/>
      <c r="F25" s="527">
        <f t="shared" si="5"/>
        <v>6.8300000000000001E-3</v>
      </c>
      <c r="G25" s="513">
        <f t="shared" si="0"/>
        <v>8</v>
      </c>
      <c r="H25" s="526">
        <f t="shared" si="1"/>
        <v>3291.8412999776428</v>
      </c>
      <c r="I25" s="526"/>
      <c r="J25" s="526"/>
      <c r="K25" s="526">
        <f t="shared" si="2"/>
        <v>63537.838737342994</v>
      </c>
    </row>
    <row r="26" spans="1:11" ht="15.75">
      <c r="A26" s="502" t="s">
        <v>382</v>
      </c>
      <c r="B26" s="502" t="str">
        <f t="shared" si="3"/>
        <v>Year 2024</v>
      </c>
      <c r="C26" s="502"/>
      <c r="D26" s="526">
        <f t="shared" si="4"/>
        <v>-60245.997437365353</v>
      </c>
      <c r="E26" s="526"/>
      <c r="F26" s="527">
        <f t="shared" si="5"/>
        <v>6.8300000000000001E-3</v>
      </c>
      <c r="G26" s="513">
        <f t="shared" si="0"/>
        <v>7</v>
      </c>
      <c r="H26" s="526">
        <f t="shared" si="1"/>
        <v>2880.3611374804377</v>
      </c>
      <c r="I26" s="526"/>
      <c r="J26" s="526"/>
      <c r="K26" s="526">
        <f t="shared" si="2"/>
        <v>63126.358574845792</v>
      </c>
    </row>
    <row r="27" spans="1:11" ht="15.75">
      <c r="A27" s="502" t="s">
        <v>189</v>
      </c>
      <c r="B27" s="502" t="str">
        <f t="shared" si="3"/>
        <v>Year 2024</v>
      </c>
      <c r="C27" s="502"/>
      <c r="D27" s="526">
        <f t="shared" si="4"/>
        <v>-60245.997437365353</v>
      </c>
      <c r="E27" s="526"/>
      <c r="F27" s="527">
        <f t="shared" si="5"/>
        <v>6.8300000000000001E-3</v>
      </c>
      <c r="G27" s="513">
        <f t="shared" si="0"/>
        <v>6</v>
      </c>
      <c r="H27" s="526">
        <f t="shared" si="1"/>
        <v>2468.8809749832321</v>
      </c>
      <c r="I27" s="526"/>
      <c r="J27" s="526"/>
      <c r="K27" s="526">
        <f t="shared" si="2"/>
        <v>62714.878412348582</v>
      </c>
    </row>
    <row r="28" spans="1:11" ht="15.75">
      <c r="A28" s="502" t="s">
        <v>190</v>
      </c>
      <c r="B28" s="502" t="str">
        <f t="shared" si="3"/>
        <v>Year 2024</v>
      </c>
      <c r="C28" s="502"/>
      <c r="D28" s="526">
        <f t="shared" si="4"/>
        <v>-60245.997437365353</v>
      </c>
      <c r="E28" s="526"/>
      <c r="F28" s="527">
        <f t="shared" si="5"/>
        <v>6.8300000000000001E-3</v>
      </c>
      <c r="G28" s="513">
        <f t="shared" si="0"/>
        <v>5</v>
      </c>
      <c r="H28" s="526">
        <f t="shared" si="1"/>
        <v>2057.4008124860266</v>
      </c>
      <c r="I28" s="526"/>
      <c r="J28" s="526"/>
      <c r="K28" s="526">
        <f t="shared" si="2"/>
        <v>62303.39824985138</v>
      </c>
    </row>
    <row r="29" spans="1:11" ht="15.75">
      <c r="A29" s="502" t="s">
        <v>192</v>
      </c>
      <c r="B29" s="502" t="str">
        <f t="shared" si="3"/>
        <v>Year 2024</v>
      </c>
      <c r="C29" s="502"/>
      <c r="D29" s="526">
        <f t="shared" si="4"/>
        <v>-60245.997437365353</v>
      </c>
      <c r="E29" s="526"/>
      <c r="F29" s="527">
        <f t="shared" si="5"/>
        <v>6.8300000000000001E-3</v>
      </c>
      <c r="G29" s="513">
        <f t="shared" si="0"/>
        <v>4</v>
      </c>
      <c r="H29" s="526">
        <f t="shared" si="1"/>
        <v>1645.9206499888214</v>
      </c>
      <c r="I29" s="526"/>
      <c r="J29" s="526"/>
      <c r="K29" s="526">
        <f t="shared" si="2"/>
        <v>61891.918087354177</v>
      </c>
    </row>
    <row r="30" spans="1:11" ht="15.75">
      <c r="A30" s="502" t="s">
        <v>560</v>
      </c>
      <c r="B30" s="502" t="str">
        <f t="shared" si="3"/>
        <v>Year 2024</v>
      </c>
      <c r="C30" s="502"/>
      <c r="D30" s="526">
        <f t="shared" si="4"/>
        <v>-60245.997437365353</v>
      </c>
      <c r="E30" s="526"/>
      <c r="F30" s="527">
        <f t="shared" si="5"/>
        <v>6.8300000000000001E-3</v>
      </c>
      <c r="G30" s="513">
        <f t="shared" si="0"/>
        <v>3</v>
      </c>
      <c r="H30" s="526">
        <f t="shared" si="1"/>
        <v>1234.4404874916161</v>
      </c>
      <c r="I30" s="526"/>
      <c r="J30" s="526"/>
      <c r="K30" s="526">
        <f t="shared" si="2"/>
        <v>61480.437924856968</v>
      </c>
    </row>
    <row r="31" spans="1:11" ht="15.75">
      <c r="A31" s="502" t="s">
        <v>561</v>
      </c>
      <c r="B31" s="502" t="str">
        <f t="shared" si="3"/>
        <v>Year 2024</v>
      </c>
      <c r="C31" s="502"/>
      <c r="D31" s="526">
        <f t="shared" si="4"/>
        <v>-60245.997437365353</v>
      </c>
      <c r="E31" s="526"/>
      <c r="F31" s="527">
        <f t="shared" si="5"/>
        <v>6.8300000000000001E-3</v>
      </c>
      <c r="G31" s="513">
        <f t="shared" si="0"/>
        <v>2</v>
      </c>
      <c r="H31" s="526">
        <f t="shared" si="1"/>
        <v>822.96032499441071</v>
      </c>
      <c r="I31" s="526"/>
      <c r="J31" s="526"/>
      <c r="K31" s="526">
        <f t="shared" si="2"/>
        <v>61068.957762359765</v>
      </c>
    </row>
    <row r="32" spans="1:11" ht="15.75">
      <c r="A32" s="502" t="s">
        <v>191</v>
      </c>
      <c r="B32" s="502" t="str">
        <f t="shared" si="3"/>
        <v>Year 2024</v>
      </c>
      <c r="C32" s="502"/>
      <c r="D32" s="526">
        <f t="shared" si="4"/>
        <v>-60245.997437365353</v>
      </c>
      <c r="E32" s="526"/>
      <c r="F32" s="527">
        <f t="shared" si="5"/>
        <v>6.8300000000000001E-3</v>
      </c>
      <c r="G32" s="513">
        <f t="shared" si="0"/>
        <v>1</v>
      </c>
      <c r="H32" s="528">
        <f t="shared" si="1"/>
        <v>411.48016249720536</v>
      </c>
      <c r="I32" s="526"/>
      <c r="J32" s="526"/>
      <c r="K32" s="526">
        <f t="shared" si="2"/>
        <v>60657.477599862556</v>
      </c>
    </row>
    <row r="33" spans="1:11" ht="15.75">
      <c r="A33" s="502"/>
      <c r="B33" s="502"/>
      <c r="C33" s="502"/>
      <c r="D33" s="526"/>
      <c r="E33" s="526"/>
      <c r="F33" s="527"/>
      <c r="G33" s="513"/>
      <c r="H33" s="526">
        <f>SUM(H21:H32)</f>
        <v>32095.452674782016</v>
      </c>
      <c r="I33" s="526"/>
      <c r="J33" s="526"/>
      <c r="K33" s="529">
        <f>SUM(K21:K32)</f>
        <v>755047.42192316614</v>
      </c>
    </row>
    <row r="34" spans="1:11" ht="15.75">
      <c r="A34" s="502"/>
      <c r="B34" s="502"/>
      <c r="C34" s="502"/>
      <c r="D34" s="526"/>
      <c r="E34" s="526"/>
      <c r="F34" s="527"/>
      <c r="G34" s="513"/>
      <c r="H34" s="526"/>
      <c r="I34" s="526" t="s">
        <v>114</v>
      </c>
      <c r="J34" s="526"/>
      <c r="K34" s="2"/>
    </row>
    <row r="35" spans="1:11" ht="15.75">
      <c r="A35" s="502"/>
      <c r="B35" s="502"/>
      <c r="C35" s="502"/>
      <c r="D35" s="512"/>
      <c r="E35" s="512"/>
      <c r="F35" s="527"/>
      <c r="G35" s="513"/>
      <c r="H35" s="530" t="s">
        <v>562</v>
      </c>
      <c r="I35" s="526"/>
      <c r="J35" s="526"/>
      <c r="K35" s="526"/>
    </row>
    <row r="36" spans="1:11" ht="15.75">
      <c r="A36" s="502" t="s">
        <v>563</v>
      </c>
      <c r="B36" s="502" t="str">
        <f>"Year "&amp;TCOS!L4-1</f>
        <v>Year 2025</v>
      </c>
      <c r="C36" s="502"/>
      <c r="D36" s="512">
        <f>K33</f>
        <v>755047.42192316614</v>
      </c>
      <c r="E36" s="512"/>
      <c r="F36" s="527">
        <f>F32</f>
        <v>6.8300000000000001E-3</v>
      </c>
      <c r="G36" s="513">
        <v>12</v>
      </c>
      <c r="H36" s="526">
        <f>+G36*F36*D36</f>
        <v>61883.686700822698</v>
      </c>
      <c r="I36" s="526"/>
      <c r="J36" s="526"/>
      <c r="K36" s="529">
        <f>+D36+H36</f>
        <v>816931.10862398881</v>
      </c>
    </row>
    <row r="37" spans="1:11" ht="15.75">
      <c r="A37" s="502"/>
      <c r="B37" s="502"/>
      <c r="C37" s="502"/>
      <c r="D37" s="512"/>
      <c r="E37" s="512"/>
      <c r="F37" s="527"/>
      <c r="G37" s="513"/>
      <c r="H37" s="526"/>
      <c r="I37" s="526"/>
      <c r="J37" s="526"/>
      <c r="K37" s="526"/>
    </row>
    <row r="38" spans="1:11" ht="15.75">
      <c r="A38" s="531" t="s">
        <v>564</v>
      </c>
      <c r="B38" s="502"/>
      <c r="C38" s="502"/>
      <c r="D38" s="526"/>
      <c r="E38" s="526"/>
      <c r="F38" s="527"/>
      <c r="G38" s="513"/>
      <c r="H38" s="530" t="s">
        <v>558</v>
      </c>
      <c r="I38" s="526"/>
      <c r="J38" s="526"/>
      <c r="K38" s="526"/>
    </row>
    <row r="39" spans="1:11" ht="15.75">
      <c r="A39" s="502" t="s">
        <v>185</v>
      </c>
      <c r="B39" s="502" t="str">
        <f>"Year "&amp;TCOS!L4</f>
        <v>Year 2026</v>
      </c>
      <c r="C39" s="502"/>
      <c r="D39" s="512">
        <f>-K36</f>
        <v>-816931.10862398881</v>
      </c>
      <c r="E39" s="512"/>
      <c r="F39" s="527">
        <f>F15</f>
        <v>6.8300000000000001E-3</v>
      </c>
      <c r="G39" s="513"/>
      <c r="H39" s="526">
        <f xml:space="preserve"> -F39*D39</f>
        <v>5579.6394719018435</v>
      </c>
      <c r="I39" s="526">
        <f>PMT(F39,12,K$36)</f>
        <v>-71137.608516345033</v>
      </c>
      <c r="J39" s="526"/>
      <c r="K39" s="526">
        <f>(+D39+D39*F39-I39)*-1</f>
        <v>751373.13957954559</v>
      </c>
    </row>
    <row r="40" spans="1:11" ht="15.75">
      <c r="A40" s="502" t="s">
        <v>559</v>
      </c>
      <c r="B40" s="502" t="str">
        <f>+B39</f>
        <v>Year 2026</v>
      </c>
      <c r="C40" s="502"/>
      <c r="D40" s="512">
        <f>-K39</f>
        <v>-751373.13957954559</v>
      </c>
      <c r="E40" s="512"/>
      <c r="F40" s="527">
        <f>+F39</f>
        <v>6.8300000000000001E-3</v>
      </c>
      <c r="G40" s="513"/>
      <c r="H40" s="526">
        <f xml:space="preserve"> -F40*D40</f>
        <v>5131.8785433282965</v>
      </c>
      <c r="I40" s="526">
        <f>I39</f>
        <v>-71137.608516345033</v>
      </c>
      <c r="J40" s="526"/>
      <c r="K40" s="526">
        <f t="shared" ref="K40:K50" si="6">(+D40+D40*F40-I40)*-1</f>
        <v>685367.40960652882</v>
      </c>
    </row>
    <row r="41" spans="1:11" ht="15.75">
      <c r="A41" s="502" t="s">
        <v>186</v>
      </c>
      <c r="B41" s="502" t="str">
        <f>+B40</f>
        <v>Year 2026</v>
      </c>
      <c r="C41" s="502"/>
      <c r="D41" s="512">
        <f t="shared" ref="D41:D50" si="7">-K40</f>
        <v>-685367.40960652882</v>
      </c>
      <c r="E41" s="512"/>
      <c r="F41" s="527">
        <f t="shared" ref="F41:F50" si="8">+F40</f>
        <v>6.8300000000000001E-3</v>
      </c>
      <c r="G41" s="513"/>
      <c r="H41" s="526">
        <f t="shared" ref="H41:H50" si="9" xml:space="preserve"> -F41*D41</f>
        <v>4681.0594076125917</v>
      </c>
      <c r="I41" s="526">
        <f t="shared" ref="I41:I50" si="10">I40</f>
        <v>-71137.608516345033</v>
      </c>
      <c r="J41" s="526"/>
      <c r="K41" s="526">
        <f t="shared" si="6"/>
        <v>618910.86049779633</v>
      </c>
    </row>
    <row r="42" spans="1:11" ht="15.75">
      <c r="A42" s="502" t="s">
        <v>187</v>
      </c>
      <c r="B42" s="502" t="str">
        <f>+B41</f>
        <v>Year 2026</v>
      </c>
      <c r="C42" s="502"/>
      <c r="D42" s="512">
        <f t="shared" si="7"/>
        <v>-618910.86049779633</v>
      </c>
      <c r="E42" s="512"/>
      <c r="F42" s="527">
        <f t="shared" si="8"/>
        <v>6.8300000000000001E-3</v>
      </c>
      <c r="G42" s="513"/>
      <c r="H42" s="526">
        <f t="shared" si="9"/>
        <v>4227.1611771999487</v>
      </c>
      <c r="I42" s="526">
        <f t="shared" si="10"/>
        <v>-71137.608516345033</v>
      </c>
      <c r="J42" s="526"/>
      <c r="K42" s="526">
        <f t="shared" si="6"/>
        <v>552000.41315865121</v>
      </c>
    </row>
    <row r="43" spans="1:11" ht="15.75">
      <c r="A43" s="502" t="s">
        <v>188</v>
      </c>
      <c r="B43" s="502" t="str">
        <f>+B42</f>
        <v>Year 2026</v>
      </c>
      <c r="C43" s="502"/>
      <c r="D43" s="512">
        <f t="shared" si="7"/>
        <v>-552000.41315865121</v>
      </c>
      <c r="E43" s="512"/>
      <c r="F43" s="527">
        <f t="shared" si="8"/>
        <v>6.8300000000000001E-3</v>
      </c>
      <c r="G43" s="513"/>
      <c r="H43" s="526">
        <f t="shared" si="9"/>
        <v>3770.1628218735877</v>
      </c>
      <c r="I43" s="526">
        <f>I42</f>
        <v>-71137.608516345033</v>
      </c>
      <c r="J43" s="526"/>
      <c r="K43" s="526">
        <f t="shared" si="6"/>
        <v>484632.96746417973</v>
      </c>
    </row>
    <row r="44" spans="1:11" ht="15.75">
      <c r="A44" s="502" t="s">
        <v>382</v>
      </c>
      <c r="B44" s="502" t="str">
        <f>B43</f>
        <v>Year 2026</v>
      </c>
      <c r="C44" s="2"/>
      <c r="D44" s="512">
        <f t="shared" si="7"/>
        <v>-484632.96746417973</v>
      </c>
      <c r="E44" s="512"/>
      <c r="F44" s="527">
        <f t="shared" si="8"/>
        <v>6.8300000000000001E-3</v>
      </c>
      <c r="G44" s="513"/>
      <c r="H44" s="526">
        <f t="shared" si="9"/>
        <v>3310.0431677803476</v>
      </c>
      <c r="I44" s="526">
        <f t="shared" si="10"/>
        <v>-71137.608516345033</v>
      </c>
      <c r="J44" s="526"/>
      <c r="K44" s="526">
        <f t="shared" si="6"/>
        <v>416805.40211561503</v>
      </c>
    </row>
    <row r="45" spans="1:11" ht="15.75">
      <c r="A45" s="502" t="s">
        <v>189</v>
      </c>
      <c r="B45" s="502" t="str">
        <f t="shared" ref="B45:B50" si="11">+B44</f>
        <v>Year 2026</v>
      </c>
      <c r="C45" s="502"/>
      <c r="D45" s="512">
        <f t="shared" si="7"/>
        <v>-416805.40211561503</v>
      </c>
      <c r="E45" s="512"/>
      <c r="F45" s="527">
        <f t="shared" si="8"/>
        <v>6.8300000000000001E-3</v>
      </c>
      <c r="G45" s="513"/>
      <c r="H45" s="526">
        <f t="shared" si="9"/>
        <v>2846.7808964496508</v>
      </c>
      <c r="I45" s="526">
        <f t="shared" si="10"/>
        <v>-71137.608516345033</v>
      </c>
      <c r="J45" s="526"/>
      <c r="K45" s="526">
        <f t="shared" si="6"/>
        <v>348514.57449571963</v>
      </c>
    </row>
    <row r="46" spans="1:11" ht="15.75">
      <c r="A46" s="502" t="s">
        <v>190</v>
      </c>
      <c r="B46" s="502" t="str">
        <f t="shared" si="11"/>
        <v>Year 2026</v>
      </c>
      <c r="C46" s="502"/>
      <c r="D46" s="512">
        <f t="shared" si="7"/>
        <v>-348514.57449571963</v>
      </c>
      <c r="E46" s="512"/>
      <c r="F46" s="527">
        <f t="shared" si="8"/>
        <v>6.8300000000000001E-3</v>
      </c>
      <c r="G46" s="513"/>
      <c r="H46" s="526">
        <f t="shared" si="9"/>
        <v>2380.3545438057649</v>
      </c>
      <c r="I46" s="526">
        <f t="shared" si="10"/>
        <v>-71137.608516345033</v>
      </c>
      <c r="J46" s="526"/>
      <c r="K46" s="526">
        <f t="shared" si="6"/>
        <v>279757.32052318036</v>
      </c>
    </row>
    <row r="47" spans="1:11" ht="15.75">
      <c r="A47" s="502" t="s">
        <v>192</v>
      </c>
      <c r="B47" s="502" t="str">
        <f t="shared" si="11"/>
        <v>Year 2026</v>
      </c>
      <c r="C47" s="502"/>
      <c r="D47" s="512">
        <f t="shared" si="7"/>
        <v>-279757.32052318036</v>
      </c>
      <c r="E47" s="512"/>
      <c r="F47" s="527">
        <f t="shared" si="8"/>
        <v>6.8300000000000001E-3</v>
      </c>
      <c r="G47" s="502"/>
      <c r="H47" s="526">
        <f t="shared" si="9"/>
        <v>1910.7424991733219</v>
      </c>
      <c r="I47" s="526">
        <f>I46</f>
        <v>-71137.608516345033</v>
      </c>
      <c r="J47" s="526"/>
      <c r="K47" s="526">
        <f t="shared" si="6"/>
        <v>210530.45450600865</v>
      </c>
    </row>
    <row r="48" spans="1:11" ht="15.75">
      <c r="A48" s="502" t="s">
        <v>560</v>
      </c>
      <c r="B48" s="502" t="str">
        <f t="shared" si="11"/>
        <v>Year 2026</v>
      </c>
      <c r="C48" s="502"/>
      <c r="D48" s="512">
        <f t="shared" si="7"/>
        <v>-210530.45450600865</v>
      </c>
      <c r="E48" s="512"/>
      <c r="F48" s="527">
        <f t="shared" si="8"/>
        <v>6.8300000000000001E-3</v>
      </c>
      <c r="G48" s="502"/>
      <c r="H48" s="526">
        <f t="shared" si="9"/>
        <v>1437.9230042760391</v>
      </c>
      <c r="I48" s="526">
        <f t="shared" si="10"/>
        <v>-71137.608516345033</v>
      </c>
      <c r="J48" s="526"/>
      <c r="K48" s="526">
        <f t="shared" si="6"/>
        <v>140830.76899393965</v>
      </c>
    </row>
    <row r="49" spans="1:11" ht="15.75">
      <c r="A49" s="502" t="s">
        <v>561</v>
      </c>
      <c r="B49" s="502" t="str">
        <f t="shared" si="11"/>
        <v>Year 2026</v>
      </c>
      <c r="C49" s="502"/>
      <c r="D49" s="512">
        <f t="shared" si="7"/>
        <v>-140830.76899393965</v>
      </c>
      <c r="E49" s="512"/>
      <c r="F49" s="527">
        <f t="shared" si="8"/>
        <v>6.8300000000000001E-3</v>
      </c>
      <c r="G49" s="502"/>
      <c r="H49" s="526">
        <f t="shared" si="9"/>
        <v>961.87415222860784</v>
      </c>
      <c r="I49" s="526">
        <f t="shared" si="10"/>
        <v>-71137.608516345033</v>
      </c>
      <c r="J49" s="526"/>
      <c r="K49" s="526">
        <f t="shared" si="6"/>
        <v>70655.034629823233</v>
      </c>
    </row>
    <row r="50" spans="1:11" ht="15.75">
      <c r="A50" s="502" t="s">
        <v>191</v>
      </c>
      <c r="B50" s="502" t="str">
        <f t="shared" si="11"/>
        <v>Year 2026</v>
      </c>
      <c r="C50" s="502"/>
      <c r="D50" s="512">
        <f t="shared" si="7"/>
        <v>-70655.034629823233</v>
      </c>
      <c r="E50" s="512"/>
      <c r="F50" s="527">
        <f t="shared" si="8"/>
        <v>6.8300000000000001E-3</v>
      </c>
      <c r="G50" s="502"/>
      <c r="H50" s="528">
        <f t="shared" si="9"/>
        <v>482.57388652169271</v>
      </c>
      <c r="I50" s="526">
        <f t="shared" si="10"/>
        <v>-71137.608516345033</v>
      </c>
      <c r="J50" s="526"/>
      <c r="K50" s="526">
        <f t="shared" si="6"/>
        <v>-1.0186340659856796E-10</v>
      </c>
    </row>
    <row r="51" spans="1:11" ht="15.75">
      <c r="A51" s="502"/>
      <c r="B51" s="502"/>
      <c r="C51" s="502"/>
      <c r="D51" s="512"/>
      <c r="E51" s="512"/>
      <c r="F51" s="527"/>
      <c r="G51" s="502"/>
      <c r="H51" s="526">
        <f>SUM(H39:H50)</f>
        <v>36720.193572151693</v>
      </c>
      <c r="I51" s="526"/>
      <c r="J51" s="526"/>
      <c r="K51" s="526"/>
    </row>
    <row r="52" spans="1:11" ht="15">
      <c r="A52" s="2"/>
      <c r="B52" s="2"/>
      <c r="C52" s="2"/>
      <c r="D52" s="2"/>
      <c r="E52" s="2"/>
      <c r="F52" s="2"/>
      <c r="G52" s="2"/>
      <c r="H52" s="2"/>
      <c r="I52" s="532"/>
      <c r="J52" s="2"/>
      <c r="K52" s="2"/>
    </row>
    <row r="53" spans="1:11" ht="15.75">
      <c r="A53" s="502" t="s">
        <v>569</v>
      </c>
      <c r="B53" s="2"/>
      <c r="C53" s="2"/>
      <c r="D53" s="2"/>
      <c r="E53" s="2"/>
      <c r="F53" s="2"/>
      <c r="G53" s="2"/>
      <c r="H53" s="2"/>
      <c r="I53" s="533">
        <f>(SUM(I39:I50)*-1)</f>
        <v>853651.3021961404</v>
      </c>
      <c r="J53" s="2"/>
      <c r="K53" s="2"/>
    </row>
    <row r="54" spans="1:11" ht="15.75">
      <c r="A54" s="502" t="s">
        <v>565</v>
      </c>
      <c r="B54" s="2"/>
      <c r="C54" s="2"/>
      <c r="D54" s="2"/>
      <c r="E54" s="2"/>
      <c r="F54" s="2"/>
      <c r="G54" s="2"/>
      <c r="H54" s="2"/>
      <c r="I54" s="534">
        <f>+H10</f>
        <v>-722951.96924838424</v>
      </c>
      <c r="J54" s="2"/>
      <c r="K54" s="2"/>
    </row>
    <row r="55" spans="1:11" ht="15.75">
      <c r="A55" s="502" t="s">
        <v>566</v>
      </c>
      <c r="B55" s="2"/>
      <c r="C55" s="2"/>
      <c r="D55" s="2"/>
      <c r="E55" s="2"/>
      <c r="F55" s="2"/>
      <c r="G55" s="2"/>
      <c r="H55" s="2"/>
      <c r="I55" s="533">
        <f>(I53+I54)</f>
        <v>130699.33294775616</v>
      </c>
      <c r="J55" s="2"/>
      <c r="K55" s="2"/>
    </row>
    <row r="56" spans="1:11"/>
    <row r="57" spans="1:11" ht="109.5" customHeight="1">
      <c r="A57" s="1336" t="s">
        <v>570</v>
      </c>
      <c r="B57" s="1336"/>
      <c r="C57" s="1336"/>
      <c r="D57" s="1336"/>
      <c r="E57" s="535"/>
      <c r="F57" s="535"/>
      <c r="G57" s="535"/>
      <c r="H57" s="535"/>
      <c r="I57" s="535"/>
      <c r="J57" s="535"/>
      <c r="K57" s="535"/>
    </row>
  </sheetData>
  <mergeCells count="5">
    <mergeCell ref="A1:K1"/>
    <mergeCell ref="A2:K2"/>
    <mergeCell ref="A3:K3"/>
    <mergeCell ref="D4:G4"/>
    <mergeCell ref="A57:D57"/>
  </mergeCells>
  <pageMargins left="0.7" right="0.7" top="0.75" bottom="0.75" header="0.3" footer="0.3"/>
  <pageSetup scale="5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K57"/>
  <sheetViews>
    <sheetView view="pageBreakPreview" zoomScale="60" zoomScaleNormal="100" workbookViewId="0">
      <selection activeCell="D10" sqref="D10"/>
    </sheetView>
  </sheetViews>
  <sheetFormatPr defaultRowHeight="12.75" customHeight="1"/>
  <cols>
    <col min="1" max="1" width="26.5703125" customWidth="1"/>
    <col min="4" max="4" width="25.42578125" customWidth="1"/>
    <col min="6" max="6" width="17" customWidth="1"/>
    <col min="8" max="8" width="19.140625" customWidth="1"/>
    <col min="9" max="9" width="15.42578125" customWidth="1"/>
    <col min="11" max="11" width="22.28515625" customWidth="1"/>
  </cols>
  <sheetData>
    <row r="1" spans="1:11" ht="15.75">
      <c r="A1" s="1335" t="s">
        <v>387</v>
      </c>
      <c r="B1" s="1335"/>
      <c r="C1" s="1335"/>
      <c r="D1" s="1335"/>
      <c r="E1" s="1335"/>
      <c r="F1" s="1335"/>
      <c r="G1" s="1335"/>
      <c r="H1" s="1335"/>
      <c r="I1" s="1335"/>
      <c r="J1" s="1335"/>
      <c r="K1" s="1335"/>
    </row>
    <row r="2" spans="1:11" ht="15.75">
      <c r="A2" s="1334" t="s">
        <v>567</v>
      </c>
      <c r="B2" s="1334"/>
      <c r="C2" s="1334"/>
      <c r="D2" s="1334"/>
      <c r="E2" s="1334"/>
      <c r="F2" s="1334"/>
      <c r="G2" s="1334"/>
      <c r="H2" s="1334"/>
      <c r="I2" s="1334"/>
      <c r="J2" s="1334"/>
      <c r="K2" s="1334"/>
    </row>
    <row r="3" spans="1:11" ht="15.75">
      <c r="A3" s="1334" t="s">
        <v>568</v>
      </c>
      <c r="B3" s="1334"/>
      <c r="C3" s="1334"/>
      <c r="D3" s="1334"/>
      <c r="E3" s="1334"/>
      <c r="F3" s="1334"/>
      <c r="G3" s="1334"/>
      <c r="H3" s="1334"/>
      <c r="I3" s="1334"/>
      <c r="J3" s="1334"/>
      <c r="K3" s="1334"/>
    </row>
    <row r="4" spans="1:11" ht="15.75">
      <c r="A4" s="2"/>
      <c r="B4" s="2"/>
      <c r="C4" s="2"/>
      <c r="D4" s="1334"/>
      <c r="E4" s="1334"/>
      <c r="F4" s="1334"/>
      <c r="G4" s="1334"/>
      <c r="H4" s="2"/>
      <c r="I4" s="2"/>
      <c r="J4" s="2"/>
      <c r="K4" s="2"/>
    </row>
    <row r="5" spans="1:11"/>
    <row r="6" spans="1:11"/>
    <row r="7" spans="1:11" ht="16.5" thickBot="1">
      <c r="A7" s="501"/>
      <c r="B7" s="502"/>
      <c r="C7" s="502"/>
      <c r="D7" s="502"/>
      <c r="E7" s="502"/>
      <c r="F7" s="502"/>
      <c r="G7" s="502"/>
      <c r="H7" s="502"/>
      <c r="I7" s="502"/>
      <c r="J7" s="502"/>
      <c r="K7" s="502"/>
    </row>
    <row r="8" spans="1:11" ht="47.25">
      <c r="A8" s="503" t="str">
        <f>'WS Q NITS'!A8</f>
        <v>Reconciliation Revenue Requirement For Year 2024 Available May 25, 2025</v>
      </c>
      <c r="B8" s="502"/>
      <c r="C8" s="502"/>
      <c r="D8" s="503" t="s">
        <v>1203</v>
      </c>
      <c r="E8" s="502"/>
      <c r="F8" s="502"/>
      <c r="G8" s="2"/>
      <c r="H8" s="503" t="s">
        <v>548</v>
      </c>
      <c r="I8" s="2"/>
      <c r="J8" s="2"/>
      <c r="K8" s="2"/>
    </row>
    <row r="9" spans="1:11" ht="15.75">
      <c r="A9" s="504" t="s">
        <v>114</v>
      </c>
      <c r="B9" s="502"/>
      <c r="C9" s="502"/>
      <c r="D9" s="504"/>
      <c r="E9" s="502"/>
      <c r="F9" s="502"/>
      <c r="G9" s="2"/>
      <c r="H9" s="505"/>
      <c r="I9" s="2"/>
      <c r="J9" s="2"/>
      <c r="K9" s="2"/>
    </row>
    <row r="10" spans="1:11" ht="16.5" thickBot="1">
      <c r="A10" s="577">
        <v>2401643.6907616104</v>
      </c>
      <c r="B10" s="506" t="str">
        <f>"-"</f>
        <v>-</v>
      </c>
      <c r="C10" s="507"/>
      <c r="D10" s="577">
        <v>3132968.4347875533</v>
      </c>
      <c r="E10" s="508"/>
      <c r="F10" s="509" t="str">
        <f>"="</f>
        <v>=</v>
      </c>
      <c r="G10" s="510"/>
      <c r="H10" s="511">
        <f>IF(A10=0,0,D10-A10)</f>
        <v>731324.74402594287</v>
      </c>
      <c r="I10" s="2"/>
      <c r="J10" s="2"/>
      <c r="K10" s="2"/>
    </row>
    <row r="11" spans="1:11" ht="15.75">
      <c r="A11" s="512"/>
      <c r="B11" s="513"/>
      <c r="C11" s="513"/>
      <c r="D11" s="512"/>
      <c r="E11" s="512"/>
      <c r="F11" s="513"/>
      <c r="G11" s="512"/>
      <c r="H11" s="2"/>
      <c r="I11" s="2"/>
      <c r="J11" s="2"/>
      <c r="K11" s="2"/>
    </row>
    <row r="12" spans="1:11" ht="16.5" thickBot="1">
      <c r="A12" s="514"/>
      <c r="B12" s="515"/>
      <c r="C12" s="515"/>
      <c r="D12" s="514"/>
      <c r="E12" s="514"/>
      <c r="F12" s="515"/>
      <c r="G12" s="514"/>
      <c r="H12" s="516"/>
      <c r="I12" s="516"/>
      <c r="J12" s="516"/>
      <c r="K12" s="516"/>
    </row>
    <row r="13" spans="1:11" ht="15.75">
      <c r="A13" s="517"/>
      <c r="B13" s="513"/>
      <c r="C13" s="513"/>
      <c r="D13" s="512"/>
      <c r="E13" s="512"/>
      <c r="F13" s="513"/>
      <c r="G13" s="512"/>
      <c r="H13" s="2"/>
      <c r="I13" s="2"/>
      <c r="J13" s="2"/>
      <c r="K13" s="2"/>
    </row>
    <row r="14" spans="1:11" ht="31.5">
      <c r="A14" s="518" t="s">
        <v>549</v>
      </c>
      <c r="B14" s="513"/>
      <c r="C14" s="513"/>
      <c r="D14" s="519" t="s">
        <v>550</v>
      </c>
      <c r="E14" s="512"/>
      <c r="F14" s="519" t="s">
        <v>551</v>
      </c>
      <c r="G14" s="520" t="s">
        <v>552</v>
      </c>
      <c r="H14" s="521" t="s">
        <v>553</v>
      </c>
      <c r="I14" s="519" t="s">
        <v>554</v>
      </c>
      <c r="J14" s="522"/>
      <c r="K14" s="519" t="s">
        <v>555</v>
      </c>
    </row>
    <row r="15" spans="1:11" ht="15.75">
      <c r="A15" s="518" t="s">
        <v>556</v>
      </c>
      <c r="B15" s="513"/>
      <c r="C15" s="513"/>
      <c r="D15" s="2"/>
      <c r="E15" s="523"/>
      <c r="F15" s="578">
        <v>6.8300000000000001E-3</v>
      </c>
      <c r="H15" s="2"/>
      <c r="I15" s="2"/>
      <c r="J15" s="2"/>
      <c r="K15" s="2"/>
    </row>
    <row r="16" spans="1:11" ht="15.75">
      <c r="A16" s="518"/>
      <c r="B16" s="513"/>
      <c r="C16" s="513"/>
      <c r="D16" s="2"/>
      <c r="E16" s="523"/>
      <c r="F16" s="523"/>
      <c r="G16" s="512"/>
      <c r="H16" s="2"/>
      <c r="I16" s="2"/>
      <c r="J16" s="2"/>
      <c r="K16" s="2"/>
    </row>
    <row r="17" spans="1:11" ht="15.75">
      <c r="A17" s="518" t="str">
        <f>'WS Q NITS'!A17</f>
        <v>An over or under collection will be recovered prorata over 2024, held for 2025 and returned prorate over 2026</v>
      </c>
      <c r="B17" s="513"/>
      <c r="C17" s="513"/>
      <c r="D17" s="2"/>
      <c r="E17" s="523"/>
      <c r="F17" s="523"/>
      <c r="G17" s="512"/>
      <c r="H17" s="2"/>
      <c r="I17" s="2"/>
      <c r="J17" s="2"/>
      <c r="K17" s="2"/>
    </row>
    <row r="18" spans="1:11" ht="15.75">
      <c r="A18" s="524" t="s">
        <v>114</v>
      </c>
      <c r="B18" s="513"/>
      <c r="C18" s="513"/>
      <c r="D18" s="513"/>
      <c r="E18" s="513"/>
      <c r="F18" s="513" t="s">
        <v>114</v>
      </c>
      <c r="G18" s="2"/>
      <c r="H18" s="2"/>
      <c r="I18" s="2"/>
      <c r="J18" s="2"/>
      <c r="K18" s="2"/>
    </row>
    <row r="19" spans="1:11" ht="15.75">
      <c r="A19" s="525"/>
      <c r="B19" s="513"/>
      <c r="C19" s="513"/>
      <c r="D19" s="513"/>
      <c r="E19" s="513"/>
      <c r="F19" s="2"/>
      <c r="G19" s="2"/>
      <c r="H19" s="520"/>
      <c r="I19" s="513"/>
      <c r="J19" s="513"/>
      <c r="K19" s="513"/>
    </row>
    <row r="20" spans="1:11" ht="15.75">
      <c r="A20" s="525" t="s">
        <v>557</v>
      </c>
      <c r="B20" s="513"/>
      <c r="C20" s="513"/>
      <c r="D20" s="513"/>
      <c r="E20" s="513"/>
      <c r="F20" s="2"/>
      <c r="G20" s="2"/>
      <c r="H20" s="520" t="s">
        <v>558</v>
      </c>
      <c r="I20" s="513"/>
      <c r="J20" s="513"/>
      <c r="K20" s="513"/>
    </row>
    <row r="21" spans="1:11" ht="15.75">
      <c r="A21" s="502" t="s">
        <v>185</v>
      </c>
      <c r="B21" s="502" t="str">
        <f>"Year "&amp;TCOS!L4-2</f>
        <v>Year 2024</v>
      </c>
      <c r="C21" s="502"/>
      <c r="D21" s="526">
        <f>H10/12</f>
        <v>60943.728668828575</v>
      </c>
      <c r="E21" s="526"/>
      <c r="F21" s="527">
        <f>F15</f>
        <v>6.8300000000000001E-3</v>
      </c>
      <c r="G21" s="513">
        <v>12</v>
      </c>
      <c r="H21" s="526">
        <f>F21*D21*G21*-1</f>
        <v>-4994.9480016971902</v>
      </c>
      <c r="I21" s="526"/>
      <c r="J21" s="526"/>
      <c r="K21" s="526">
        <f>(-H21+D21)*-1</f>
        <v>-65938.676670525761</v>
      </c>
    </row>
    <row r="22" spans="1:11" ht="15.75">
      <c r="A22" s="502" t="s">
        <v>559</v>
      </c>
      <c r="B22" s="502" t="str">
        <f>B21</f>
        <v>Year 2024</v>
      </c>
      <c r="C22" s="502"/>
      <c r="D22" s="526">
        <f>+D21</f>
        <v>60943.728668828575</v>
      </c>
      <c r="E22" s="526"/>
      <c r="F22" s="527">
        <f>+F21</f>
        <v>6.8300000000000001E-3</v>
      </c>
      <c r="G22" s="513">
        <f t="shared" ref="G22:G32" si="0">+G21-1</f>
        <v>11</v>
      </c>
      <c r="H22" s="526">
        <f t="shared" ref="H22:H32" si="1">F22*D22*G22*-1</f>
        <v>-4578.7023348890916</v>
      </c>
      <c r="I22" s="526"/>
      <c r="J22" s="526"/>
      <c r="K22" s="526">
        <f t="shared" ref="K22:K32" si="2">(-H22+D22)*-1</f>
        <v>-65522.431003717669</v>
      </c>
    </row>
    <row r="23" spans="1:11" ht="15.75">
      <c r="A23" s="502" t="s">
        <v>186</v>
      </c>
      <c r="B23" s="502" t="str">
        <f t="shared" ref="B23:B32" si="3">B22</f>
        <v>Year 2024</v>
      </c>
      <c r="C23" s="502"/>
      <c r="D23" s="526">
        <f t="shared" ref="D23:D32" si="4">+D22</f>
        <v>60943.728668828575</v>
      </c>
      <c r="E23" s="526"/>
      <c r="F23" s="527">
        <f t="shared" ref="F23:F32" si="5">+F22</f>
        <v>6.8300000000000001E-3</v>
      </c>
      <c r="G23" s="513">
        <f t="shared" si="0"/>
        <v>10</v>
      </c>
      <c r="H23" s="526">
        <f t="shared" si="1"/>
        <v>-4162.4566680809921</v>
      </c>
      <c r="I23" s="526"/>
      <c r="J23" s="526"/>
      <c r="K23" s="526">
        <f t="shared" si="2"/>
        <v>-65106.18533690957</v>
      </c>
    </row>
    <row r="24" spans="1:11" ht="15.75">
      <c r="A24" s="502" t="s">
        <v>187</v>
      </c>
      <c r="B24" s="502" t="str">
        <f t="shared" si="3"/>
        <v>Year 2024</v>
      </c>
      <c r="C24" s="502"/>
      <c r="D24" s="526">
        <f t="shared" si="4"/>
        <v>60943.728668828575</v>
      </c>
      <c r="E24" s="526"/>
      <c r="F24" s="527">
        <f t="shared" si="5"/>
        <v>6.8300000000000001E-3</v>
      </c>
      <c r="G24" s="513">
        <f t="shared" si="0"/>
        <v>9</v>
      </c>
      <c r="H24" s="526">
        <f t="shared" si="1"/>
        <v>-3746.2110012728926</v>
      </c>
      <c r="I24" s="526"/>
      <c r="J24" s="526"/>
      <c r="K24" s="526">
        <f t="shared" si="2"/>
        <v>-64689.93967010147</v>
      </c>
    </row>
    <row r="25" spans="1:11" ht="15.75">
      <c r="A25" s="502" t="s">
        <v>188</v>
      </c>
      <c r="B25" s="502" t="str">
        <f t="shared" si="3"/>
        <v>Year 2024</v>
      </c>
      <c r="C25" s="502"/>
      <c r="D25" s="526">
        <f t="shared" si="4"/>
        <v>60943.728668828575</v>
      </c>
      <c r="E25" s="526"/>
      <c r="F25" s="527">
        <f t="shared" si="5"/>
        <v>6.8300000000000001E-3</v>
      </c>
      <c r="G25" s="513">
        <f t="shared" si="0"/>
        <v>8</v>
      </c>
      <c r="H25" s="526">
        <f t="shared" si="1"/>
        <v>-3329.9653344647936</v>
      </c>
      <c r="I25" s="526"/>
      <c r="J25" s="526"/>
      <c r="K25" s="526">
        <f t="shared" si="2"/>
        <v>-64273.694003293371</v>
      </c>
    </row>
    <row r="26" spans="1:11" ht="15.75">
      <c r="A26" s="502" t="s">
        <v>382</v>
      </c>
      <c r="B26" s="502" t="str">
        <f t="shared" si="3"/>
        <v>Year 2024</v>
      </c>
      <c r="C26" s="502"/>
      <c r="D26" s="526">
        <f t="shared" si="4"/>
        <v>60943.728668828575</v>
      </c>
      <c r="E26" s="526"/>
      <c r="F26" s="527">
        <f t="shared" si="5"/>
        <v>6.8300000000000001E-3</v>
      </c>
      <c r="G26" s="513">
        <f t="shared" si="0"/>
        <v>7</v>
      </c>
      <c r="H26" s="526">
        <f t="shared" si="1"/>
        <v>-2913.7196676566946</v>
      </c>
      <c r="I26" s="526"/>
      <c r="J26" s="526"/>
      <c r="K26" s="526">
        <f t="shared" si="2"/>
        <v>-63857.448336485271</v>
      </c>
    </row>
    <row r="27" spans="1:11" ht="15.75">
      <c r="A27" s="502" t="s">
        <v>189</v>
      </c>
      <c r="B27" s="502" t="str">
        <f t="shared" si="3"/>
        <v>Year 2024</v>
      </c>
      <c r="C27" s="502"/>
      <c r="D27" s="526">
        <f t="shared" si="4"/>
        <v>60943.728668828575</v>
      </c>
      <c r="E27" s="526"/>
      <c r="F27" s="527">
        <f t="shared" si="5"/>
        <v>6.8300000000000001E-3</v>
      </c>
      <c r="G27" s="513">
        <f t="shared" si="0"/>
        <v>6</v>
      </c>
      <c r="H27" s="526">
        <f t="shared" si="1"/>
        <v>-2497.4740008485951</v>
      </c>
      <c r="I27" s="526"/>
      <c r="J27" s="526"/>
      <c r="K27" s="526">
        <f t="shared" si="2"/>
        <v>-63441.202669677172</v>
      </c>
    </row>
    <row r="28" spans="1:11" ht="15.75">
      <c r="A28" s="502" t="s">
        <v>190</v>
      </c>
      <c r="B28" s="502" t="str">
        <f t="shared" si="3"/>
        <v>Year 2024</v>
      </c>
      <c r="C28" s="502"/>
      <c r="D28" s="526">
        <f t="shared" si="4"/>
        <v>60943.728668828575</v>
      </c>
      <c r="E28" s="526"/>
      <c r="F28" s="527">
        <f t="shared" si="5"/>
        <v>6.8300000000000001E-3</v>
      </c>
      <c r="G28" s="513">
        <f t="shared" si="0"/>
        <v>5</v>
      </c>
      <c r="H28" s="526">
        <f t="shared" si="1"/>
        <v>-2081.2283340404961</v>
      </c>
      <c r="I28" s="526"/>
      <c r="J28" s="526"/>
      <c r="K28" s="526">
        <f t="shared" si="2"/>
        <v>-63024.957002869072</v>
      </c>
    </row>
    <row r="29" spans="1:11" ht="15.75">
      <c r="A29" s="502" t="s">
        <v>192</v>
      </c>
      <c r="B29" s="502" t="str">
        <f t="shared" si="3"/>
        <v>Year 2024</v>
      </c>
      <c r="C29" s="502"/>
      <c r="D29" s="526">
        <f t="shared" si="4"/>
        <v>60943.728668828575</v>
      </c>
      <c r="E29" s="526"/>
      <c r="F29" s="527">
        <f t="shared" si="5"/>
        <v>6.8300000000000001E-3</v>
      </c>
      <c r="G29" s="513">
        <f t="shared" si="0"/>
        <v>4</v>
      </c>
      <c r="H29" s="526">
        <f t="shared" si="1"/>
        <v>-1664.9826672323968</v>
      </c>
      <c r="I29" s="526"/>
      <c r="J29" s="526"/>
      <c r="K29" s="526">
        <f t="shared" si="2"/>
        <v>-62608.711336060973</v>
      </c>
    </row>
    <row r="30" spans="1:11" ht="15.75">
      <c r="A30" s="502" t="s">
        <v>560</v>
      </c>
      <c r="B30" s="502" t="str">
        <f t="shared" si="3"/>
        <v>Year 2024</v>
      </c>
      <c r="C30" s="502"/>
      <c r="D30" s="526">
        <f t="shared" si="4"/>
        <v>60943.728668828575</v>
      </c>
      <c r="E30" s="526"/>
      <c r="F30" s="527">
        <f t="shared" si="5"/>
        <v>6.8300000000000001E-3</v>
      </c>
      <c r="G30" s="513">
        <f t="shared" si="0"/>
        <v>3</v>
      </c>
      <c r="H30" s="526">
        <f t="shared" si="1"/>
        <v>-1248.7370004242975</v>
      </c>
      <c r="I30" s="526"/>
      <c r="J30" s="526"/>
      <c r="K30" s="526">
        <f t="shared" si="2"/>
        <v>-62192.465669252873</v>
      </c>
    </row>
    <row r="31" spans="1:11" ht="15.75">
      <c r="A31" s="502" t="s">
        <v>561</v>
      </c>
      <c r="B31" s="502" t="str">
        <f t="shared" si="3"/>
        <v>Year 2024</v>
      </c>
      <c r="C31" s="502"/>
      <c r="D31" s="526">
        <f t="shared" si="4"/>
        <v>60943.728668828575</v>
      </c>
      <c r="E31" s="526"/>
      <c r="F31" s="527">
        <f t="shared" si="5"/>
        <v>6.8300000000000001E-3</v>
      </c>
      <c r="G31" s="513">
        <f t="shared" si="0"/>
        <v>2</v>
      </c>
      <c r="H31" s="526">
        <f t="shared" si="1"/>
        <v>-832.4913336161984</v>
      </c>
      <c r="I31" s="526"/>
      <c r="J31" s="526"/>
      <c r="K31" s="526">
        <f t="shared" si="2"/>
        <v>-61776.220002444774</v>
      </c>
    </row>
    <row r="32" spans="1:11" ht="15.75">
      <c r="A32" s="502" t="s">
        <v>191</v>
      </c>
      <c r="B32" s="502" t="str">
        <f t="shared" si="3"/>
        <v>Year 2024</v>
      </c>
      <c r="C32" s="502"/>
      <c r="D32" s="526">
        <f t="shared" si="4"/>
        <v>60943.728668828575</v>
      </c>
      <c r="E32" s="526"/>
      <c r="F32" s="527">
        <f t="shared" si="5"/>
        <v>6.8300000000000001E-3</v>
      </c>
      <c r="G32" s="513">
        <f t="shared" si="0"/>
        <v>1</v>
      </c>
      <c r="H32" s="528">
        <f t="shared" si="1"/>
        <v>-416.2456668080992</v>
      </c>
      <c r="I32" s="526"/>
      <c r="J32" s="526"/>
      <c r="K32" s="526">
        <f t="shared" si="2"/>
        <v>-61359.974335636674</v>
      </c>
    </row>
    <row r="33" spans="1:11" ht="15.75">
      <c r="A33" s="502"/>
      <c r="B33" s="502"/>
      <c r="C33" s="502"/>
      <c r="D33" s="526"/>
      <c r="E33" s="526"/>
      <c r="F33" s="527"/>
      <c r="G33" s="513"/>
      <c r="H33" s="526">
        <f>SUM(H21:H32)</f>
        <v>-32467.162011031738</v>
      </c>
      <c r="I33" s="526"/>
      <c r="J33" s="526"/>
      <c r="K33" s="529">
        <f>SUM(K21:K32)</f>
        <v>-763791.90603697475</v>
      </c>
    </row>
    <row r="34" spans="1:11" ht="15.75">
      <c r="A34" s="502"/>
      <c r="B34" s="502"/>
      <c r="C34" s="502"/>
      <c r="D34" s="526"/>
      <c r="E34" s="526"/>
      <c r="F34" s="527"/>
      <c r="G34" s="513"/>
      <c r="H34" s="526"/>
      <c r="I34" s="526" t="s">
        <v>114</v>
      </c>
      <c r="J34" s="526"/>
      <c r="K34" s="2"/>
    </row>
    <row r="35" spans="1:11" ht="15.75">
      <c r="A35" s="502"/>
      <c r="B35" s="502"/>
      <c r="C35" s="502"/>
      <c r="D35" s="512"/>
      <c r="E35" s="512"/>
      <c r="F35" s="527"/>
      <c r="G35" s="513"/>
      <c r="H35" s="530" t="s">
        <v>562</v>
      </c>
      <c r="I35" s="526"/>
      <c r="J35" s="526"/>
      <c r="K35" s="526"/>
    </row>
    <row r="36" spans="1:11" ht="15.75">
      <c r="A36" s="502" t="s">
        <v>563</v>
      </c>
      <c r="B36" s="502" t="str">
        <f>"Year "&amp;TCOS!L4-1</f>
        <v>Year 2025</v>
      </c>
      <c r="C36" s="502"/>
      <c r="D36" s="512">
        <f>K33</f>
        <v>-763791.90603697475</v>
      </c>
      <c r="E36" s="512"/>
      <c r="F36" s="527">
        <f>F32</f>
        <v>6.8300000000000001E-3</v>
      </c>
      <c r="G36" s="513">
        <v>12</v>
      </c>
      <c r="H36" s="526">
        <f>+G36*F36*D36</f>
        <v>-62600.384618790456</v>
      </c>
      <c r="I36" s="526"/>
      <c r="J36" s="526"/>
      <c r="K36" s="529">
        <f>+D36+H36</f>
        <v>-826392.29065576522</v>
      </c>
    </row>
    <row r="37" spans="1:11" ht="15.75">
      <c r="A37" s="502"/>
      <c r="B37" s="502"/>
      <c r="C37" s="502"/>
      <c r="D37" s="512"/>
      <c r="E37" s="512"/>
      <c r="F37" s="527"/>
      <c r="G37" s="502"/>
      <c r="H37" s="526"/>
      <c r="I37" s="526"/>
      <c r="J37" s="526"/>
      <c r="K37" s="526"/>
    </row>
    <row r="38" spans="1:11" ht="15.75">
      <c r="A38" s="531" t="s">
        <v>564</v>
      </c>
      <c r="B38" s="502"/>
      <c r="C38" s="502"/>
      <c r="D38" s="526"/>
      <c r="E38" s="526"/>
      <c r="F38" s="527"/>
      <c r="G38" s="502"/>
      <c r="H38" s="530" t="s">
        <v>558</v>
      </c>
      <c r="I38" s="526"/>
      <c r="J38" s="526"/>
      <c r="K38" s="526"/>
    </row>
    <row r="39" spans="1:11" ht="15.75">
      <c r="A39" s="502" t="s">
        <v>185</v>
      </c>
      <c r="B39" s="502" t="str">
        <f>"Year "&amp;TCOS!L4</f>
        <v>Year 2026</v>
      </c>
      <c r="C39" s="502"/>
      <c r="D39" s="512">
        <f>-K36</f>
        <v>826392.29065576522</v>
      </c>
      <c r="E39" s="512"/>
      <c r="F39" s="527">
        <f>F15</f>
        <v>6.8300000000000001E-3</v>
      </c>
      <c r="G39" s="502"/>
      <c r="H39" s="526">
        <f xml:space="preserve"> -F39*D39</f>
        <v>-5644.2593451788762</v>
      </c>
      <c r="I39" s="526">
        <f>PMT(F39,12,K$36)</f>
        <v>71961.47953358668</v>
      </c>
      <c r="J39" s="526"/>
      <c r="K39" s="526">
        <f>(+D39+D39*F39-I39)*-1</f>
        <v>-760075.07046735741</v>
      </c>
    </row>
    <row r="40" spans="1:11" ht="15.75">
      <c r="A40" s="502" t="s">
        <v>559</v>
      </c>
      <c r="B40" s="502" t="str">
        <f>+B39</f>
        <v>Year 2026</v>
      </c>
      <c r="C40" s="502"/>
      <c r="D40" s="512">
        <f>-K39</f>
        <v>760075.07046735741</v>
      </c>
      <c r="E40" s="512"/>
      <c r="F40" s="527">
        <f>+F39</f>
        <v>6.8300000000000001E-3</v>
      </c>
      <c r="G40" s="502"/>
      <c r="H40" s="526">
        <f xml:space="preserve"> -F40*D40</f>
        <v>-5191.3127312920515</v>
      </c>
      <c r="I40" s="526">
        <f>I39</f>
        <v>71961.47953358668</v>
      </c>
      <c r="J40" s="526"/>
      <c r="K40" s="526">
        <f t="shared" ref="K40:K50" si="6">(+D40+D40*F40-I40)*-1</f>
        <v>-693304.90366506285</v>
      </c>
    </row>
    <row r="41" spans="1:11" ht="15.75">
      <c r="A41" s="502" t="s">
        <v>186</v>
      </c>
      <c r="B41" s="502" t="str">
        <f>+B40</f>
        <v>Year 2026</v>
      </c>
      <c r="C41" s="502"/>
      <c r="D41" s="512">
        <f t="shared" ref="D41:D50" si="7">-K40</f>
        <v>693304.90366506285</v>
      </c>
      <c r="E41" s="512"/>
      <c r="F41" s="527">
        <f t="shared" ref="F41:F50" si="8">+F40</f>
        <v>6.8300000000000001E-3</v>
      </c>
      <c r="G41" s="502"/>
      <c r="H41" s="526">
        <f t="shared" ref="H41:H50" si="9" xml:space="preserve"> -F41*D41</f>
        <v>-4735.272492032379</v>
      </c>
      <c r="I41" s="526">
        <f t="shared" ref="I41:I50" si="10">I40</f>
        <v>71961.47953358668</v>
      </c>
      <c r="J41" s="526"/>
      <c r="K41" s="526">
        <f t="shared" si="6"/>
        <v>-626078.69662350859</v>
      </c>
    </row>
    <row r="42" spans="1:11" ht="15.75">
      <c r="A42" s="502" t="s">
        <v>187</v>
      </c>
      <c r="B42" s="502" t="str">
        <f>+B41</f>
        <v>Year 2026</v>
      </c>
      <c r="C42" s="502"/>
      <c r="D42" s="512">
        <f t="shared" si="7"/>
        <v>626078.69662350859</v>
      </c>
      <c r="E42" s="512"/>
      <c r="F42" s="527">
        <f t="shared" si="8"/>
        <v>6.8300000000000001E-3</v>
      </c>
      <c r="G42" s="502"/>
      <c r="H42" s="526">
        <f t="shared" si="9"/>
        <v>-4276.1174979385642</v>
      </c>
      <c r="I42" s="526">
        <f t="shared" si="10"/>
        <v>71961.47953358668</v>
      </c>
      <c r="J42" s="526"/>
      <c r="K42" s="526">
        <f t="shared" si="6"/>
        <v>-558393.3345878605</v>
      </c>
    </row>
    <row r="43" spans="1:11" ht="15.75">
      <c r="A43" s="502" t="s">
        <v>188</v>
      </c>
      <c r="B43" s="502" t="str">
        <f>+B42</f>
        <v>Year 2026</v>
      </c>
      <c r="C43" s="502"/>
      <c r="D43" s="512">
        <f t="shared" si="7"/>
        <v>558393.3345878605</v>
      </c>
      <c r="E43" s="512"/>
      <c r="F43" s="527">
        <f t="shared" si="8"/>
        <v>6.8300000000000001E-3</v>
      </c>
      <c r="G43" s="502"/>
      <c r="H43" s="526">
        <f t="shared" si="9"/>
        <v>-3813.8264752350874</v>
      </c>
      <c r="I43" s="526">
        <f>I42</f>
        <v>71961.47953358668</v>
      </c>
      <c r="J43" s="526"/>
      <c r="K43" s="526">
        <f t="shared" si="6"/>
        <v>-490245.6815295089</v>
      </c>
    </row>
    <row r="44" spans="1:11" ht="15.75">
      <c r="A44" s="502" t="s">
        <v>382</v>
      </c>
      <c r="B44" s="502" t="str">
        <f>B43</f>
        <v>Year 2026</v>
      </c>
      <c r="C44" s="2"/>
      <c r="D44" s="512">
        <f t="shared" si="7"/>
        <v>490245.6815295089</v>
      </c>
      <c r="E44" s="512"/>
      <c r="F44" s="527">
        <f t="shared" si="8"/>
        <v>6.8300000000000001E-3</v>
      </c>
      <c r="G44" s="502"/>
      <c r="H44" s="526">
        <f t="shared" si="9"/>
        <v>-3348.378004846546</v>
      </c>
      <c r="I44" s="526">
        <f t="shared" si="10"/>
        <v>71961.47953358668</v>
      </c>
      <c r="J44" s="526"/>
      <c r="K44" s="526">
        <f t="shared" si="6"/>
        <v>-421632.58000076876</v>
      </c>
    </row>
    <row r="45" spans="1:11" ht="15.75">
      <c r="A45" s="502" t="s">
        <v>189</v>
      </c>
      <c r="B45" s="502" t="str">
        <f t="shared" ref="B45:B50" si="11">+B44</f>
        <v>Year 2026</v>
      </c>
      <c r="C45" s="502"/>
      <c r="D45" s="512">
        <f t="shared" si="7"/>
        <v>421632.58000076876</v>
      </c>
      <c r="E45" s="512"/>
      <c r="F45" s="527">
        <f t="shared" si="8"/>
        <v>6.8300000000000001E-3</v>
      </c>
      <c r="G45" s="502"/>
      <c r="H45" s="526">
        <f t="shared" si="9"/>
        <v>-2879.7505214052508</v>
      </c>
      <c r="I45" s="526">
        <f t="shared" si="10"/>
        <v>71961.47953358668</v>
      </c>
      <c r="J45" s="526"/>
      <c r="K45" s="526">
        <f t="shared" si="6"/>
        <v>-352550.85098858736</v>
      </c>
    </row>
    <row r="46" spans="1:11" ht="15.75">
      <c r="A46" s="502" t="s">
        <v>190</v>
      </c>
      <c r="B46" s="502" t="str">
        <f t="shared" si="11"/>
        <v>Year 2026</v>
      </c>
      <c r="C46" s="502"/>
      <c r="D46" s="512">
        <f t="shared" si="7"/>
        <v>352550.85098858736</v>
      </c>
      <c r="E46" s="512"/>
      <c r="F46" s="527">
        <f t="shared" si="8"/>
        <v>6.8300000000000001E-3</v>
      </c>
      <c r="G46" s="502"/>
      <c r="H46" s="526">
        <f t="shared" si="9"/>
        <v>-2407.9223122520516</v>
      </c>
      <c r="I46" s="526">
        <f t="shared" si="10"/>
        <v>71961.47953358668</v>
      </c>
      <c r="J46" s="526"/>
      <c r="K46" s="526">
        <f t="shared" si="6"/>
        <v>-282997.2937672527</v>
      </c>
    </row>
    <row r="47" spans="1:11" ht="15.75">
      <c r="A47" s="502" t="s">
        <v>192</v>
      </c>
      <c r="B47" s="502" t="str">
        <f t="shared" si="11"/>
        <v>Year 2026</v>
      </c>
      <c r="C47" s="502"/>
      <c r="D47" s="512">
        <f t="shared" si="7"/>
        <v>282997.2937672527</v>
      </c>
      <c r="E47" s="512"/>
      <c r="F47" s="527">
        <f t="shared" si="8"/>
        <v>6.8300000000000001E-3</v>
      </c>
      <c r="G47" s="502"/>
      <c r="H47" s="526">
        <f t="shared" si="9"/>
        <v>-1932.871516430336</v>
      </c>
      <c r="I47" s="526">
        <f>I46</f>
        <v>71961.47953358668</v>
      </c>
      <c r="J47" s="526"/>
      <c r="K47" s="526">
        <f t="shared" si="6"/>
        <v>-212968.68575009637</v>
      </c>
    </row>
    <row r="48" spans="1:11" ht="15.75">
      <c r="A48" s="502" t="s">
        <v>560</v>
      </c>
      <c r="B48" s="502" t="str">
        <f t="shared" si="11"/>
        <v>Year 2026</v>
      </c>
      <c r="C48" s="502"/>
      <c r="D48" s="512">
        <f t="shared" si="7"/>
        <v>212968.68575009637</v>
      </c>
      <c r="E48" s="512"/>
      <c r="F48" s="527">
        <f t="shared" si="8"/>
        <v>6.8300000000000001E-3</v>
      </c>
      <c r="G48" s="502"/>
      <c r="H48" s="526">
        <f t="shared" si="9"/>
        <v>-1454.5761236731582</v>
      </c>
      <c r="I48" s="526">
        <f t="shared" si="10"/>
        <v>71961.47953358668</v>
      </c>
      <c r="J48" s="526"/>
      <c r="K48" s="526">
        <f t="shared" si="6"/>
        <v>-142461.78234018284</v>
      </c>
    </row>
    <row r="49" spans="1:11" ht="15.75">
      <c r="A49" s="502" t="s">
        <v>561</v>
      </c>
      <c r="B49" s="502" t="str">
        <f t="shared" si="11"/>
        <v>Year 2026</v>
      </c>
      <c r="C49" s="502"/>
      <c r="D49" s="512">
        <f t="shared" si="7"/>
        <v>142461.78234018284</v>
      </c>
      <c r="E49" s="512"/>
      <c r="F49" s="527">
        <f t="shared" si="8"/>
        <v>6.8300000000000001E-3</v>
      </c>
      <c r="G49" s="502"/>
      <c r="H49" s="526">
        <f t="shared" si="9"/>
        <v>-973.01397338344873</v>
      </c>
      <c r="I49" s="526">
        <f t="shared" si="10"/>
        <v>71961.47953358668</v>
      </c>
      <c r="J49" s="526"/>
      <c r="K49" s="526">
        <f t="shared" si="6"/>
        <v>-71473.316779979592</v>
      </c>
    </row>
    <row r="50" spans="1:11" ht="15.75">
      <c r="A50" s="502" t="s">
        <v>191</v>
      </c>
      <c r="B50" s="502" t="str">
        <f t="shared" si="11"/>
        <v>Year 2026</v>
      </c>
      <c r="C50" s="502"/>
      <c r="D50" s="512">
        <f t="shared" si="7"/>
        <v>71473.316779979592</v>
      </c>
      <c r="E50" s="512"/>
      <c r="F50" s="527">
        <f t="shared" si="8"/>
        <v>6.8300000000000001E-3</v>
      </c>
      <c r="G50" s="502"/>
      <c r="H50" s="528">
        <f t="shared" si="9"/>
        <v>-488.16275360726064</v>
      </c>
      <c r="I50" s="526">
        <f t="shared" si="10"/>
        <v>71961.47953358668</v>
      </c>
      <c r="J50" s="526"/>
      <c r="K50" s="526">
        <f t="shared" si="6"/>
        <v>-1.7462298274040222E-10</v>
      </c>
    </row>
    <row r="51" spans="1:11" ht="15.75">
      <c r="A51" s="502"/>
      <c r="B51" s="502"/>
      <c r="C51" s="502"/>
      <c r="D51" s="512"/>
      <c r="E51" s="512"/>
      <c r="F51" s="527"/>
      <c r="G51" s="502"/>
      <c r="H51" s="526">
        <f>SUM(H39:H50)</f>
        <v>-37145.463747275018</v>
      </c>
      <c r="I51" s="526"/>
      <c r="J51" s="526"/>
      <c r="K51" s="526"/>
    </row>
    <row r="52" spans="1:11" ht="15">
      <c r="A52" s="2"/>
      <c r="B52" s="2"/>
      <c r="C52" s="2"/>
      <c r="D52" s="2"/>
      <c r="E52" s="2"/>
      <c r="F52" s="2"/>
      <c r="G52" s="2"/>
      <c r="H52" s="2"/>
      <c r="I52" s="532"/>
      <c r="J52" s="2"/>
      <c r="K52" s="2"/>
    </row>
    <row r="53" spans="1:11" ht="15.75">
      <c r="A53" s="502" t="s">
        <v>569</v>
      </c>
      <c r="B53" s="2"/>
      <c r="C53" s="2"/>
      <c r="D53" s="2"/>
      <c r="E53" s="2"/>
      <c r="F53" s="2"/>
      <c r="G53" s="2"/>
      <c r="H53" s="2"/>
      <c r="I53" s="533">
        <f>(SUM(I39:I50)*-1)</f>
        <v>-863537.75440303993</v>
      </c>
      <c r="J53" s="2"/>
      <c r="K53" s="2"/>
    </row>
    <row r="54" spans="1:11" ht="15.75">
      <c r="A54" s="502" t="s">
        <v>565</v>
      </c>
      <c r="B54" s="2"/>
      <c r="C54" s="2"/>
      <c r="D54" s="2"/>
      <c r="E54" s="2"/>
      <c r="F54" s="2"/>
      <c r="G54" s="2"/>
      <c r="H54" s="2"/>
      <c r="I54" s="534">
        <f>+H10</f>
        <v>731324.74402594287</v>
      </c>
      <c r="J54" s="2"/>
      <c r="K54" s="2"/>
    </row>
    <row r="55" spans="1:11" ht="15.75">
      <c r="A55" s="502" t="s">
        <v>566</v>
      </c>
      <c r="B55" s="2"/>
      <c r="C55" s="2"/>
      <c r="D55" s="2"/>
      <c r="E55" s="2"/>
      <c r="F55" s="2"/>
      <c r="G55" s="2"/>
      <c r="H55" s="2"/>
      <c r="I55" s="533">
        <f>(I53+I54)</f>
        <v>-132213.01037709706</v>
      </c>
      <c r="J55" s="2"/>
      <c r="K55" s="2"/>
    </row>
    <row r="56" spans="1:11"/>
    <row r="57" spans="1:11" ht="64.5" customHeight="1">
      <c r="A57" s="1336" t="s">
        <v>570</v>
      </c>
      <c r="B57" s="1336"/>
      <c r="C57" s="1336"/>
      <c r="D57" s="1336"/>
      <c r="E57" s="535"/>
      <c r="F57" s="535"/>
      <c r="G57" s="535"/>
      <c r="H57" s="535"/>
      <c r="I57" s="535"/>
      <c r="J57" s="535"/>
      <c r="K57" s="535"/>
    </row>
  </sheetData>
  <mergeCells count="5">
    <mergeCell ref="A1:K1"/>
    <mergeCell ref="A2:K2"/>
    <mergeCell ref="A3:K3"/>
    <mergeCell ref="D4:G4"/>
    <mergeCell ref="A57:D57"/>
  </mergeCells>
  <pageMargins left="0.7" right="0.7" top="0.75" bottom="0.75" header="0.3" footer="0.3"/>
  <pageSetup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S197"/>
  <sheetViews>
    <sheetView view="pageBreakPreview" zoomScale="60" zoomScaleNormal="50" workbookViewId="0">
      <selection activeCell="J179" sqref="J179"/>
    </sheetView>
  </sheetViews>
  <sheetFormatPr defaultRowHeight="12.75" customHeight="1"/>
  <cols>
    <col min="1" max="1" width="7.7109375" bestFit="1" customWidth="1"/>
    <col min="2" max="2" width="57.7109375" bestFit="1" customWidth="1"/>
    <col min="3" max="4" width="14.85546875" customWidth="1"/>
    <col min="5" max="6" width="14.28515625" customWidth="1"/>
    <col min="7" max="7" width="15.28515625" bestFit="1" customWidth="1"/>
    <col min="8" max="8" width="2.7109375" customWidth="1"/>
    <col min="9" max="9" width="15.140625" customWidth="1"/>
    <col min="10" max="10" width="15" bestFit="1" customWidth="1"/>
    <col min="11" max="11" width="13.5703125" bestFit="1" customWidth="1"/>
    <col min="12" max="12" width="2.42578125" customWidth="1"/>
    <col min="13" max="13" width="15.28515625" bestFit="1" customWidth="1"/>
    <col min="14" max="14" width="15" bestFit="1" customWidth="1"/>
    <col min="15" max="15" width="13.5703125" bestFit="1" customWidth="1"/>
    <col min="16" max="16" width="2.7109375" customWidth="1"/>
    <col min="17" max="17" width="13.140625" bestFit="1" customWidth="1"/>
    <col min="18" max="18" width="15" bestFit="1" customWidth="1"/>
    <col min="19" max="19" width="13.5703125" bestFit="1" customWidth="1"/>
  </cols>
  <sheetData>
    <row r="1" spans="1:19">
      <c r="A1" s="694"/>
      <c r="B1" s="735" t="str">
        <f>TCOS!F9</f>
        <v>Appalachian Power Company</v>
      </c>
      <c r="C1" s="679"/>
      <c r="D1" s="679"/>
      <c r="E1" s="679"/>
      <c r="F1" s="679"/>
      <c r="M1" s="679"/>
      <c r="N1" s="679"/>
      <c r="O1" s="679"/>
      <c r="P1" s="679"/>
      <c r="Q1" s="679"/>
      <c r="R1" s="679"/>
    </row>
    <row r="2" spans="1:19">
      <c r="A2" s="694"/>
      <c r="B2" s="142" t="s">
        <v>815</v>
      </c>
      <c r="C2" s="679"/>
      <c r="D2" s="679"/>
      <c r="E2" s="679"/>
      <c r="F2" s="679"/>
      <c r="M2" s="679"/>
      <c r="N2" s="679"/>
      <c r="O2" s="679"/>
      <c r="P2" s="679"/>
      <c r="Q2" s="679"/>
      <c r="R2" s="679"/>
    </row>
    <row r="3" spans="1:19">
      <c r="A3" s="694"/>
      <c r="B3" s="705" t="str">
        <f>"PERIOD ENDED DECEMBER 31, "&amp;TCOS!L4</f>
        <v>PERIOD ENDED DECEMBER 31, 2026</v>
      </c>
      <c r="C3" s="679"/>
      <c r="D3" s="679"/>
      <c r="E3" s="679"/>
      <c r="F3" s="679"/>
      <c r="G3" s="679"/>
      <c r="H3" s="679"/>
      <c r="I3" s="679"/>
      <c r="J3" s="679"/>
      <c r="K3" s="679"/>
      <c r="L3" s="679"/>
      <c r="M3" s="679"/>
      <c r="N3" s="679"/>
      <c r="O3" s="679"/>
      <c r="P3" s="679"/>
      <c r="Q3" s="679"/>
      <c r="R3" s="679"/>
      <c r="S3" s="679"/>
    </row>
    <row r="4" spans="1:19">
      <c r="A4" s="694"/>
      <c r="B4" s="679"/>
      <c r="C4" s="679"/>
      <c r="D4" s="679"/>
      <c r="E4" s="679"/>
      <c r="F4" s="679"/>
      <c r="G4" s="1" t="s">
        <v>694</v>
      </c>
      <c r="H4" s="1"/>
      <c r="I4" s="1"/>
      <c r="J4" s="1"/>
      <c r="K4" s="1"/>
      <c r="L4" s="1"/>
      <c r="M4" s="679"/>
      <c r="N4" s="679"/>
      <c r="O4" s="679"/>
      <c r="P4" s="679"/>
      <c r="Q4" s="679"/>
      <c r="R4" s="679"/>
      <c r="S4" s="679"/>
    </row>
    <row r="5" spans="1:19">
      <c r="A5" s="694"/>
      <c r="B5" s="679"/>
      <c r="C5" s="679"/>
      <c r="D5" s="679"/>
      <c r="E5" s="679"/>
      <c r="F5" s="679"/>
      <c r="G5" s="679"/>
      <c r="H5" s="679"/>
      <c r="I5" s="679"/>
      <c r="J5" s="679"/>
      <c r="K5" s="679"/>
      <c r="L5" s="679"/>
      <c r="M5" s="679"/>
      <c r="N5" s="679"/>
      <c r="O5" s="679"/>
      <c r="P5" s="679"/>
      <c r="Q5" s="679"/>
      <c r="R5" s="679"/>
      <c r="S5" s="679"/>
    </row>
    <row r="6" spans="1:19">
      <c r="A6" s="694"/>
      <c r="B6" s="679"/>
      <c r="C6" s="679"/>
      <c r="D6" s="679"/>
      <c r="E6" s="679"/>
      <c r="F6" s="679"/>
      <c r="G6" s="679"/>
      <c r="H6" s="679"/>
      <c r="I6" s="679"/>
      <c r="J6" s="679"/>
      <c r="K6" s="679"/>
      <c r="L6" s="679"/>
      <c r="M6" s="679"/>
      <c r="N6" s="679"/>
      <c r="O6" s="679"/>
      <c r="P6" s="679"/>
      <c r="Q6" s="679"/>
      <c r="R6" s="679"/>
      <c r="S6" s="679"/>
    </row>
    <row r="7" spans="1:19">
      <c r="A7" s="694"/>
      <c r="B7" s="679"/>
      <c r="C7" s="679"/>
      <c r="D7" s="679"/>
      <c r="E7" s="679"/>
      <c r="F7" s="679"/>
      <c r="G7" s="679"/>
      <c r="H7" s="679"/>
      <c r="I7" s="679"/>
      <c r="J7" s="679"/>
      <c r="K7" s="679"/>
      <c r="L7" s="679"/>
      <c r="M7" s="679"/>
      <c r="N7" s="679"/>
      <c r="O7" s="679"/>
      <c r="P7" s="679"/>
      <c r="Q7" s="679"/>
      <c r="R7" s="679"/>
      <c r="S7" s="679"/>
    </row>
    <row r="8" spans="1:19">
      <c r="A8" s="694"/>
      <c r="B8" s="680" t="s">
        <v>695</v>
      </c>
      <c r="C8" s="680" t="s">
        <v>696</v>
      </c>
      <c r="D8" s="680" t="s">
        <v>697</v>
      </c>
      <c r="E8" s="680" t="s">
        <v>698</v>
      </c>
      <c r="F8" s="680" t="s">
        <v>699</v>
      </c>
      <c r="G8" s="680" t="s">
        <v>700</v>
      </c>
      <c r="H8" s="680"/>
      <c r="I8" s="680" t="s">
        <v>701</v>
      </c>
      <c r="J8" s="680" t="s">
        <v>702</v>
      </c>
      <c r="K8" s="680" t="s">
        <v>703</v>
      </c>
      <c r="L8" s="680"/>
      <c r="M8" s="680" t="s">
        <v>704</v>
      </c>
      <c r="N8" s="680" t="s">
        <v>705</v>
      </c>
      <c r="O8" s="680" t="s">
        <v>706</v>
      </c>
      <c r="P8" s="679"/>
      <c r="Q8" s="680" t="s">
        <v>707</v>
      </c>
      <c r="R8" s="680" t="s">
        <v>708</v>
      </c>
      <c r="S8" s="680" t="s">
        <v>709</v>
      </c>
    </row>
    <row r="9" spans="1:19">
      <c r="A9" s="694"/>
      <c r="B9" s="679"/>
      <c r="C9" s="679"/>
      <c r="D9" s="679"/>
      <c r="E9" s="679"/>
      <c r="F9" s="679"/>
      <c r="G9" s="679"/>
      <c r="H9" s="679"/>
      <c r="I9" s="679"/>
      <c r="J9" s="679"/>
      <c r="K9" s="679"/>
      <c r="L9" s="679"/>
      <c r="M9" s="679"/>
      <c r="N9" s="679"/>
      <c r="O9" s="679"/>
      <c r="P9" s="679"/>
      <c r="Q9" s="679"/>
      <c r="R9" s="679"/>
      <c r="S9" s="679"/>
    </row>
    <row r="10" spans="1:19">
      <c r="A10" s="694"/>
      <c r="B10" s="679"/>
      <c r="C10" s="681" t="s">
        <v>710</v>
      </c>
      <c r="D10" s="681"/>
      <c r="E10" s="682" t="s">
        <v>711</v>
      </c>
      <c r="F10" s="681"/>
      <c r="G10" s="1" t="s">
        <v>712</v>
      </c>
      <c r="H10" s="1"/>
      <c r="I10" s="681" t="s">
        <v>713</v>
      </c>
      <c r="J10" s="681"/>
      <c r="K10" s="681"/>
      <c r="L10" s="1"/>
      <c r="M10" s="681" t="str">
        <f>"FUNCTIONALIZATION 12/31/"&amp;TCOS!L4-1</f>
        <v>FUNCTIONALIZATION 12/31/2025</v>
      </c>
      <c r="N10" s="681"/>
      <c r="O10" s="681"/>
      <c r="P10" s="679"/>
      <c r="Q10" s="681" t="str">
        <f>"FUNCTIONALIZATION 12/31/"&amp;TCOS!L4</f>
        <v>FUNCTIONALIZATION 12/31/2026</v>
      </c>
      <c r="R10" s="681"/>
      <c r="S10" s="681"/>
    </row>
    <row r="11" spans="1:19">
      <c r="A11" s="694"/>
      <c r="B11" s="679"/>
      <c r="C11" s="684"/>
      <c r="D11" s="684"/>
      <c r="E11" s="679"/>
      <c r="F11" s="679"/>
      <c r="G11" s="1" t="s">
        <v>714</v>
      </c>
      <c r="H11" s="1"/>
      <c r="I11" s="684"/>
      <c r="J11" s="684"/>
      <c r="K11" s="684"/>
      <c r="L11" s="1"/>
      <c r="M11" s="684"/>
      <c r="N11" s="684"/>
      <c r="O11" s="684"/>
      <c r="P11" s="679"/>
      <c r="Q11" s="684"/>
      <c r="R11" s="684"/>
      <c r="S11" s="684"/>
    </row>
    <row r="12" spans="1:19">
      <c r="A12" s="694"/>
      <c r="B12" s="679"/>
      <c r="C12" s="1" t="s">
        <v>715</v>
      </c>
      <c r="D12" s="1" t="s">
        <v>715</v>
      </c>
      <c r="E12" s="1" t="s">
        <v>715</v>
      </c>
      <c r="F12" s="1" t="s">
        <v>715</v>
      </c>
      <c r="G12" s="1" t="s">
        <v>716</v>
      </c>
      <c r="H12" s="1"/>
      <c r="I12" s="679"/>
      <c r="J12" s="679"/>
      <c r="K12" s="679"/>
      <c r="L12" s="1"/>
      <c r="M12" s="679"/>
      <c r="N12" s="679"/>
      <c r="O12" s="679"/>
      <c r="P12" s="679"/>
      <c r="Q12" s="679"/>
      <c r="R12" s="679"/>
      <c r="S12" s="679"/>
    </row>
    <row r="13" spans="1:19">
      <c r="A13" s="694"/>
      <c r="B13" s="680" t="s">
        <v>717</v>
      </c>
      <c r="C13" s="680" t="str">
        <f>"OF 12-31-"&amp;TCOS!L4-1</f>
        <v>OF 12-31-2025</v>
      </c>
      <c r="D13" s="680" t="str">
        <f>"OF 12-31-"&amp;TCOS!L4</f>
        <v>OF 12-31-2026</v>
      </c>
      <c r="E13" s="680" t="str">
        <f>"OF 12-31-"&amp;TCOS!L4-1</f>
        <v>OF 12-31-2025</v>
      </c>
      <c r="F13" s="680" t="str">
        <f>"OF 12-31-"&amp;TCOS!L4</f>
        <v>OF 12-31-2026</v>
      </c>
      <c r="G13" s="680" t="s">
        <v>718</v>
      </c>
      <c r="H13" s="680"/>
      <c r="I13" s="680" t="s">
        <v>719</v>
      </c>
      <c r="J13" s="680" t="s">
        <v>720</v>
      </c>
      <c r="K13" s="680" t="s">
        <v>721</v>
      </c>
      <c r="L13" s="680"/>
      <c r="M13" s="680" t="s">
        <v>719</v>
      </c>
      <c r="N13" s="680" t="s">
        <v>720</v>
      </c>
      <c r="O13" s="680" t="s">
        <v>721</v>
      </c>
      <c r="P13" s="679"/>
      <c r="Q13" s="680" t="s">
        <v>719</v>
      </c>
      <c r="R13" s="680" t="s">
        <v>720</v>
      </c>
      <c r="S13" s="680" t="s">
        <v>721</v>
      </c>
    </row>
    <row r="14" spans="1:19">
      <c r="A14" s="694"/>
      <c r="B14" s="679"/>
      <c r="C14" s="679"/>
      <c r="D14" s="679"/>
      <c r="E14" s="679"/>
      <c r="F14" s="679"/>
      <c r="G14" s="679"/>
      <c r="H14" s="679"/>
      <c r="I14" s="679"/>
      <c r="J14" s="679"/>
      <c r="K14" s="679"/>
      <c r="L14" s="679"/>
      <c r="M14" s="679"/>
      <c r="N14" s="679"/>
      <c r="O14" s="679"/>
      <c r="P14" s="679"/>
      <c r="Q14" s="679"/>
      <c r="R14" s="679"/>
      <c r="S14" s="679"/>
    </row>
    <row r="15" spans="1:19">
      <c r="A15" s="704">
        <v>1</v>
      </c>
      <c r="B15" s="542" t="s">
        <v>722</v>
      </c>
      <c r="C15" s="686"/>
      <c r="D15" s="686"/>
      <c r="E15" s="686"/>
      <c r="F15" s="687"/>
      <c r="G15" s="686"/>
      <c r="H15" s="686"/>
      <c r="I15" s="686"/>
      <c r="J15" s="686"/>
      <c r="K15" s="686"/>
      <c r="L15" s="686"/>
      <c r="M15" s="686"/>
      <c r="N15" s="686"/>
      <c r="O15" s="686"/>
      <c r="P15" s="686"/>
      <c r="Q15" s="686"/>
      <c r="R15" s="686"/>
      <c r="S15" s="686"/>
    </row>
    <row r="16" spans="1:19">
      <c r="A16" s="704">
        <v>2.0099999999999998</v>
      </c>
      <c r="B16" s="542"/>
      <c r="C16" s="686"/>
      <c r="D16" s="686"/>
      <c r="E16" s="686"/>
      <c r="F16" s="686"/>
      <c r="G16" s="686"/>
      <c r="H16" s="686"/>
      <c r="I16" s="686"/>
      <c r="J16" s="686"/>
      <c r="K16" s="686"/>
      <c r="L16" s="686"/>
      <c r="M16" s="686"/>
      <c r="N16" s="686"/>
      <c r="O16" s="686"/>
      <c r="P16" s="686"/>
      <c r="Q16" s="686"/>
      <c r="R16" s="686"/>
      <c r="S16" s="686"/>
    </row>
    <row r="17" spans="1:19">
      <c r="A17" s="704">
        <v>2.02</v>
      </c>
      <c r="B17" s="542"/>
      <c r="C17" s="686">
        <f>SUM(M17:O17)</f>
        <v>0</v>
      </c>
      <c r="D17" s="686">
        <f>SUM(Q17:S17)</f>
        <v>0</v>
      </c>
      <c r="E17" s="686"/>
      <c r="F17" s="686"/>
      <c r="G17" s="686">
        <f>ROUND(SUM(C17:F17)/2,0)</f>
        <v>0</v>
      </c>
      <c r="H17" s="686"/>
      <c r="I17" s="686">
        <f>(M17+Q17)/2</f>
        <v>0</v>
      </c>
      <c r="J17" s="686">
        <f>(N17+R17)/2</f>
        <v>0</v>
      </c>
      <c r="K17" s="686">
        <f>(O17+S17)/2</f>
        <v>0</v>
      </c>
      <c r="L17" s="686"/>
      <c r="M17" s="542">
        <v>0</v>
      </c>
      <c r="N17" s="542"/>
      <c r="O17" s="542"/>
      <c r="P17" s="686"/>
      <c r="Q17" s="542">
        <v>0</v>
      </c>
      <c r="R17" s="542"/>
      <c r="S17" s="542"/>
    </row>
    <row r="18" spans="1:19">
      <c r="A18" s="704">
        <v>2.0299999999999998</v>
      </c>
      <c r="B18" s="542"/>
      <c r="C18" s="686"/>
      <c r="D18" s="686"/>
      <c r="E18" s="686"/>
      <c r="F18" s="686"/>
      <c r="G18" s="686"/>
      <c r="H18" s="686"/>
      <c r="I18" s="686"/>
      <c r="J18" s="686"/>
      <c r="K18" s="686"/>
      <c r="L18" s="686"/>
      <c r="M18" s="686"/>
      <c r="N18" s="686"/>
      <c r="O18" s="686"/>
      <c r="P18" s="686"/>
      <c r="Q18" s="686"/>
      <c r="R18" s="686"/>
      <c r="S18" s="686"/>
    </row>
    <row r="19" spans="1:19">
      <c r="A19" s="704">
        <v>2.04</v>
      </c>
      <c r="B19" s="542"/>
      <c r="C19" s="686">
        <v>0</v>
      </c>
      <c r="D19" s="686">
        <v>0</v>
      </c>
      <c r="E19" s="686">
        <f t="shared" ref="E19:F21" si="0">-C19</f>
        <v>0</v>
      </c>
      <c r="F19" s="686">
        <f t="shared" si="0"/>
        <v>0</v>
      </c>
      <c r="G19" s="686">
        <f>ROUND(SUM(C19:F19)/2,0)</f>
        <v>0</v>
      </c>
      <c r="H19" s="686"/>
      <c r="I19" s="686"/>
      <c r="J19" s="686"/>
      <c r="K19" s="686"/>
      <c r="L19" s="686"/>
      <c r="M19" s="686"/>
      <c r="N19" s="686"/>
      <c r="O19" s="686"/>
      <c r="P19" s="686"/>
      <c r="Q19" s="686"/>
      <c r="R19" s="686"/>
      <c r="S19" s="686"/>
    </row>
    <row r="20" spans="1:19">
      <c r="A20" s="704">
        <v>2.0499999999999998</v>
      </c>
      <c r="B20" s="542"/>
      <c r="C20" s="686">
        <v>0</v>
      </c>
      <c r="D20" s="686">
        <v>0</v>
      </c>
      <c r="E20" s="686">
        <f t="shared" si="0"/>
        <v>0</v>
      </c>
      <c r="F20" s="686">
        <f t="shared" si="0"/>
        <v>0</v>
      </c>
      <c r="G20" s="686">
        <f>ROUND(SUM(C20:F20)/2,0)</f>
        <v>0</v>
      </c>
      <c r="H20" s="686"/>
      <c r="I20" s="686"/>
      <c r="J20" s="686"/>
      <c r="K20" s="686"/>
      <c r="L20" s="686"/>
      <c r="M20" s="686"/>
      <c r="N20" s="686"/>
      <c r="O20" s="686"/>
      <c r="P20" s="686"/>
      <c r="Q20" s="686"/>
      <c r="R20" s="686"/>
      <c r="S20" s="686"/>
    </row>
    <row r="21" spans="1:19">
      <c r="A21" s="704">
        <v>2.06</v>
      </c>
      <c r="B21" s="542"/>
      <c r="C21" s="686">
        <v>0</v>
      </c>
      <c r="D21" s="686">
        <v>0</v>
      </c>
      <c r="E21" s="686">
        <f t="shared" si="0"/>
        <v>0</v>
      </c>
      <c r="F21" s="686">
        <f t="shared" si="0"/>
        <v>0</v>
      </c>
      <c r="G21" s="686">
        <f>ROUND(SUM(C21:F21)/2,0)</f>
        <v>0</v>
      </c>
      <c r="H21" s="686"/>
      <c r="I21" s="686"/>
      <c r="J21" s="686"/>
      <c r="K21" s="686"/>
      <c r="L21" s="686"/>
      <c r="M21" s="686"/>
      <c r="N21" s="686"/>
      <c r="O21" s="686"/>
      <c r="P21" s="686"/>
      <c r="Q21" s="686"/>
      <c r="R21" s="686"/>
      <c r="S21" s="686"/>
    </row>
    <row r="22" spans="1:19">
      <c r="A22" s="700"/>
      <c r="B22" s="679"/>
      <c r="C22" s="686"/>
      <c r="D22" s="686"/>
      <c r="E22" s="686"/>
      <c r="F22" s="686"/>
      <c r="G22" s="686"/>
      <c r="H22" s="686"/>
      <c r="I22" s="686"/>
      <c r="J22" s="686"/>
      <c r="K22" s="686"/>
      <c r="L22" s="686"/>
      <c r="M22" s="686"/>
      <c r="N22" s="686"/>
      <c r="O22" s="686"/>
      <c r="P22" s="686"/>
      <c r="Q22" s="686"/>
      <c r="R22" s="686"/>
      <c r="S22" s="686"/>
    </row>
    <row r="23" spans="1:19" ht="13.5" thickBot="1">
      <c r="A23" s="695">
        <v>3</v>
      </c>
      <c r="B23" t="s">
        <v>723</v>
      </c>
      <c r="C23" s="689">
        <f>SUM(C17:C22)</f>
        <v>0</v>
      </c>
      <c r="D23" s="689">
        <f>SUM(D17:D22)</f>
        <v>0</v>
      </c>
      <c r="E23" s="689">
        <f>SUM(E17:E22)</f>
        <v>0</v>
      </c>
      <c r="F23" s="689">
        <f>SUM(F17:F22)</f>
        <v>0</v>
      </c>
      <c r="G23" s="689">
        <f>SUM(G17:G22)</f>
        <v>0</v>
      </c>
      <c r="H23" s="686"/>
      <c r="I23" s="689">
        <f>SUM(I17:I22)</f>
        <v>0</v>
      </c>
      <c r="J23" s="689">
        <f>SUM(J17:J22)</f>
        <v>0</v>
      </c>
      <c r="K23" s="689">
        <f>SUM(K17:K22)</f>
        <v>0</v>
      </c>
      <c r="L23" s="686"/>
      <c r="M23" s="689">
        <f>SUM(M17:M22)</f>
        <v>0</v>
      </c>
      <c r="N23" s="689">
        <f>SUM(N17:N22)</f>
        <v>0</v>
      </c>
      <c r="O23" s="689">
        <f>SUM(O17:O22)</f>
        <v>0</v>
      </c>
      <c r="P23" s="686"/>
      <c r="Q23" s="689">
        <f>SUM(Q17:Q22)</f>
        <v>0</v>
      </c>
      <c r="R23" s="689">
        <f>SUM(R17:R22)</f>
        <v>0</v>
      </c>
      <c r="S23" s="689">
        <f>SUM(S17:S22)</f>
        <v>0</v>
      </c>
    </row>
    <row r="24" spans="1:19" ht="13.5" thickTop="1">
      <c r="A24" s="695">
        <f>A23+1</f>
        <v>4</v>
      </c>
      <c r="B24" s="15" t="s">
        <v>741</v>
      </c>
      <c r="C24" s="698">
        <v>0</v>
      </c>
      <c r="D24" s="698">
        <v>0</v>
      </c>
      <c r="E24" s="698">
        <v>0</v>
      </c>
      <c r="F24" s="698">
        <v>0</v>
      </c>
      <c r="G24" s="698">
        <v>0</v>
      </c>
      <c r="H24" s="699"/>
      <c r="I24" s="698">
        <v>0</v>
      </c>
      <c r="J24" s="698">
        <v>0</v>
      </c>
      <c r="K24" s="698">
        <v>0</v>
      </c>
      <c r="L24" s="699"/>
      <c r="M24" s="698">
        <v>0</v>
      </c>
      <c r="N24" s="698">
        <v>0</v>
      </c>
      <c r="O24" s="698">
        <v>0</v>
      </c>
      <c r="P24" s="699"/>
      <c r="Q24" s="698">
        <v>0</v>
      </c>
      <c r="R24" s="698">
        <v>0</v>
      </c>
      <c r="S24" s="698">
        <v>0</v>
      </c>
    </row>
    <row r="25" spans="1:19">
      <c r="A25" s="695"/>
      <c r="B25" s="679"/>
      <c r="C25" s="686"/>
      <c r="D25" s="686"/>
      <c r="E25" s="686"/>
      <c r="F25" s="686"/>
      <c r="G25" s="686"/>
      <c r="H25" s="686"/>
      <c r="I25" s="686"/>
      <c r="J25" s="686"/>
      <c r="K25" s="686"/>
      <c r="L25" s="686"/>
      <c r="M25" s="686"/>
      <c r="N25" s="686"/>
      <c r="O25" s="686"/>
      <c r="P25" s="686"/>
      <c r="Q25" s="686"/>
      <c r="R25" s="686"/>
      <c r="S25" s="686"/>
    </row>
    <row r="26" spans="1:19">
      <c r="A26" s="695">
        <v>5</v>
      </c>
      <c r="B26" t="s">
        <v>724</v>
      </c>
      <c r="C26" s="686"/>
      <c r="D26" s="686"/>
      <c r="E26" s="686"/>
      <c r="F26" s="686"/>
      <c r="G26" s="686"/>
      <c r="H26" s="686"/>
      <c r="I26" s="686"/>
      <c r="J26" s="686"/>
      <c r="K26" s="686"/>
      <c r="L26" s="686"/>
      <c r="M26" s="686"/>
      <c r="N26" s="686"/>
      <c r="O26" s="686"/>
      <c r="P26" s="686"/>
      <c r="Q26" s="686"/>
      <c r="R26" s="686"/>
      <c r="S26" s="686"/>
    </row>
    <row r="27" spans="1:19">
      <c r="A27" s="701"/>
      <c r="B27" s="679"/>
      <c r="C27" s="686"/>
      <c r="D27" s="686"/>
      <c r="E27" s="686"/>
      <c r="F27" s="686"/>
      <c r="G27" s="686"/>
      <c r="H27" s="686"/>
      <c r="I27" s="686"/>
      <c r="J27" s="686"/>
      <c r="K27" s="686"/>
      <c r="L27" s="686"/>
      <c r="M27" s="686"/>
      <c r="N27" s="686"/>
      <c r="O27" s="686"/>
      <c r="P27" s="686"/>
      <c r="Q27" s="686"/>
      <c r="R27" s="686"/>
      <c r="S27" s="686"/>
    </row>
    <row r="28" spans="1:19">
      <c r="A28" s="704">
        <v>5.01</v>
      </c>
      <c r="B28" s="542"/>
      <c r="C28" s="686">
        <f t="shared" ref="C28:C64" si="1">SUM(M28:O28)</f>
        <v>0</v>
      </c>
      <c r="D28" s="686">
        <f t="shared" ref="D28:D64" si="2">SUM(Q28:S28)</f>
        <v>0</v>
      </c>
      <c r="E28" s="686"/>
      <c r="F28" s="686"/>
      <c r="G28" s="686">
        <f t="shared" ref="G28:G50" si="3">ROUND(SUM(C28:F28)/2,0)</f>
        <v>0</v>
      </c>
      <c r="H28" s="686"/>
      <c r="I28" s="686">
        <f t="shared" ref="I28:K65" si="4">(M28+Q28)/2</f>
        <v>0</v>
      </c>
      <c r="J28" s="686">
        <f t="shared" si="4"/>
        <v>0</v>
      </c>
      <c r="K28" s="686">
        <f t="shared" si="4"/>
        <v>0</v>
      </c>
      <c r="L28" s="686"/>
      <c r="M28" s="542">
        <v>0</v>
      </c>
      <c r="N28" s="542"/>
      <c r="O28" s="542"/>
      <c r="P28" s="686"/>
      <c r="Q28" s="542"/>
      <c r="R28" s="542"/>
      <c r="S28" s="542"/>
    </row>
    <row r="29" spans="1:19">
      <c r="A29" s="704">
        <f>A28+0.01</f>
        <v>5.0199999999999996</v>
      </c>
      <c r="B29" s="542"/>
      <c r="C29" s="686">
        <f>SUM(M29:O29)</f>
        <v>0</v>
      </c>
      <c r="D29" s="686">
        <f>SUM(Q29:S29)</f>
        <v>0</v>
      </c>
      <c r="E29" s="686"/>
      <c r="F29" s="686"/>
      <c r="G29" s="686">
        <f t="shared" si="3"/>
        <v>0</v>
      </c>
      <c r="H29" s="686"/>
      <c r="I29" s="686">
        <f t="shared" si="4"/>
        <v>0</v>
      </c>
      <c r="J29" s="686">
        <f t="shared" si="4"/>
        <v>0</v>
      </c>
      <c r="K29" s="686">
        <f t="shared" si="4"/>
        <v>0</v>
      </c>
      <c r="L29" s="686"/>
      <c r="M29" s="542"/>
      <c r="N29" s="542"/>
      <c r="O29" s="542"/>
      <c r="P29" s="686"/>
      <c r="Q29" s="542"/>
      <c r="R29" s="542"/>
      <c r="S29" s="542"/>
    </row>
    <row r="30" spans="1:19">
      <c r="A30" s="704">
        <f t="shared" ref="A30:A68" si="5">A29+0.01</f>
        <v>5.0299999999999994</v>
      </c>
      <c r="B30" s="542"/>
      <c r="C30" s="686">
        <f t="shared" si="1"/>
        <v>0</v>
      </c>
      <c r="D30" s="686">
        <f t="shared" si="2"/>
        <v>0</v>
      </c>
      <c r="E30" s="686"/>
      <c r="F30" s="686"/>
      <c r="G30" s="686">
        <f t="shared" si="3"/>
        <v>0</v>
      </c>
      <c r="H30" s="686"/>
      <c r="I30" s="686">
        <f t="shared" si="4"/>
        <v>0</v>
      </c>
      <c r="J30" s="686">
        <f t="shared" si="4"/>
        <v>0</v>
      </c>
      <c r="K30" s="686">
        <f t="shared" si="4"/>
        <v>0</v>
      </c>
      <c r="L30" s="686"/>
      <c r="M30" s="731"/>
      <c r="N30" s="731"/>
      <c r="O30" s="542"/>
      <c r="P30" s="686"/>
      <c r="Q30" s="731"/>
      <c r="R30" s="731"/>
      <c r="S30" s="542"/>
    </row>
    <row r="31" spans="1:19">
      <c r="A31" s="704">
        <f t="shared" si="5"/>
        <v>5.0399999999999991</v>
      </c>
      <c r="B31" s="542"/>
      <c r="C31" s="686">
        <f>SUM(M31:O31)</f>
        <v>0</v>
      </c>
      <c r="D31" s="686">
        <f>SUM(Q31:S31)</f>
        <v>0</v>
      </c>
      <c r="E31" s="686"/>
      <c r="F31" s="686"/>
      <c r="G31" s="686">
        <f t="shared" si="3"/>
        <v>0</v>
      </c>
      <c r="H31" s="686"/>
      <c r="I31" s="686">
        <f t="shared" si="4"/>
        <v>0</v>
      </c>
      <c r="J31" s="686">
        <f t="shared" si="4"/>
        <v>0</v>
      </c>
      <c r="K31" s="686">
        <f t="shared" si="4"/>
        <v>0</v>
      </c>
      <c r="L31" s="686"/>
      <c r="M31" s="542"/>
      <c r="N31" s="542"/>
      <c r="O31" s="542"/>
      <c r="P31" s="686"/>
      <c r="Q31" s="542"/>
      <c r="R31" s="542"/>
      <c r="S31" s="542"/>
    </row>
    <row r="32" spans="1:19">
      <c r="A32" s="704">
        <f t="shared" si="5"/>
        <v>5.0499999999999989</v>
      </c>
      <c r="B32" s="542"/>
      <c r="C32" s="686">
        <f t="shared" si="1"/>
        <v>0</v>
      </c>
      <c r="D32" s="686">
        <f t="shared" si="2"/>
        <v>0</v>
      </c>
      <c r="E32" s="686"/>
      <c r="F32" s="686"/>
      <c r="G32" s="686">
        <f t="shared" si="3"/>
        <v>0</v>
      </c>
      <c r="H32" s="686"/>
      <c r="I32" s="686">
        <f t="shared" si="4"/>
        <v>0</v>
      </c>
      <c r="J32" s="686">
        <f t="shared" si="4"/>
        <v>0</v>
      </c>
      <c r="K32" s="686">
        <f t="shared" si="4"/>
        <v>0</v>
      </c>
      <c r="L32" s="686"/>
      <c r="M32" s="542"/>
      <c r="N32" s="542"/>
      <c r="O32" s="542"/>
      <c r="P32" s="686"/>
      <c r="Q32" s="542"/>
      <c r="R32" s="542"/>
      <c r="S32" s="542"/>
    </row>
    <row r="33" spans="1:19">
      <c r="A33" s="704">
        <f t="shared" si="5"/>
        <v>5.0599999999999987</v>
      </c>
      <c r="B33" s="542"/>
      <c r="C33" s="686">
        <f t="shared" ref="C33:C39" si="6">SUM(M33:O33)</f>
        <v>0</v>
      </c>
      <c r="D33" s="686">
        <f t="shared" ref="D33:D39" si="7">SUM(Q33:S33)</f>
        <v>0</v>
      </c>
      <c r="E33" s="686"/>
      <c r="F33" s="686"/>
      <c r="G33" s="686">
        <f t="shared" si="3"/>
        <v>0</v>
      </c>
      <c r="H33" s="686"/>
      <c r="I33" s="686">
        <f t="shared" si="4"/>
        <v>0</v>
      </c>
      <c r="J33" s="686">
        <f t="shared" si="4"/>
        <v>0</v>
      </c>
      <c r="K33" s="686">
        <f t="shared" si="4"/>
        <v>0</v>
      </c>
      <c r="L33" s="686"/>
      <c r="M33" s="542"/>
      <c r="N33" s="542"/>
      <c r="O33" s="542"/>
      <c r="P33" s="686"/>
      <c r="Q33" s="542"/>
      <c r="R33" s="542"/>
      <c r="S33" s="542"/>
    </row>
    <row r="34" spans="1:19">
      <c r="A34" s="704">
        <f t="shared" si="5"/>
        <v>5.0699999999999985</v>
      </c>
      <c r="B34" s="542"/>
      <c r="C34" s="691">
        <f t="shared" si="6"/>
        <v>0</v>
      </c>
      <c r="D34" s="691">
        <f t="shared" si="7"/>
        <v>0</v>
      </c>
      <c r="E34" s="691"/>
      <c r="F34" s="691"/>
      <c r="G34" s="691">
        <f t="shared" si="3"/>
        <v>0</v>
      </c>
      <c r="H34" s="691"/>
      <c r="I34" s="691">
        <f t="shared" si="4"/>
        <v>0</v>
      </c>
      <c r="J34" s="691">
        <f t="shared" si="4"/>
        <v>0</v>
      </c>
      <c r="K34" s="691">
        <f t="shared" si="4"/>
        <v>0</v>
      </c>
      <c r="L34" s="691"/>
      <c r="M34" s="542"/>
      <c r="N34" s="731"/>
      <c r="O34" s="542"/>
      <c r="P34" s="686"/>
      <c r="Q34" s="731"/>
      <c r="R34" s="731"/>
      <c r="S34" s="542"/>
    </row>
    <row r="35" spans="1:19">
      <c r="A35" s="704">
        <f t="shared" si="5"/>
        <v>5.0799999999999983</v>
      </c>
      <c r="B35" s="542"/>
      <c r="C35" s="691">
        <f t="shared" si="6"/>
        <v>0</v>
      </c>
      <c r="D35" s="691">
        <f t="shared" si="7"/>
        <v>0</v>
      </c>
      <c r="E35" s="691"/>
      <c r="F35" s="691"/>
      <c r="G35" s="691">
        <f t="shared" si="3"/>
        <v>0</v>
      </c>
      <c r="H35" s="691"/>
      <c r="I35" s="691">
        <f t="shared" si="4"/>
        <v>0</v>
      </c>
      <c r="J35" s="691">
        <f t="shared" si="4"/>
        <v>0</v>
      </c>
      <c r="K35" s="691">
        <f t="shared" si="4"/>
        <v>0</v>
      </c>
      <c r="L35" s="691"/>
      <c r="M35" s="542"/>
      <c r="N35" s="542"/>
      <c r="O35" s="542"/>
      <c r="P35" s="691"/>
      <c r="Q35" s="542"/>
      <c r="R35" s="542"/>
      <c r="S35" s="542"/>
    </row>
    <row r="36" spans="1:19">
      <c r="A36" s="704">
        <f t="shared" si="5"/>
        <v>5.0899999999999981</v>
      </c>
      <c r="B36" s="542"/>
      <c r="C36" s="686">
        <f>SUM(M36:O36)</f>
        <v>0</v>
      </c>
      <c r="D36" s="686">
        <f t="shared" si="7"/>
        <v>0</v>
      </c>
      <c r="E36" s="686"/>
      <c r="F36" s="686"/>
      <c r="G36" s="686">
        <f>ROUND(SUM(C36:F36)/2,0)</f>
        <v>0</v>
      </c>
      <c r="H36" s="686"/>
      <c r="I36" s="686">
        <f t="shared" si="4"/>
        <v>0</v>
      </c>
      <c r="J36" s="686">
        <f t="shared" si="4"/>
        <v>0</v>
      </c>
      <c r="K36" s="686">
        <f t="shared" si="4"/>
        <v>0</v>
      </c>
      <c r="L36" s="686"/>
      <c r="M36" s="542"/>
      <c r="N36" s="542"/>
      <c r="O36" s="542"/>
      <c r="P36" s="686"/>
      <c r="Q36" s="542"/>
      <c r="R36" s="542"/>
      <c r="S36" s="542"/>
    </row>
    <row r="37" spans="1:19">
      <c r="A37" s="704">
        <f t="shared" si="5"/>
        <v>5.0999999999999979</v>
      </c>
      <c r="B37" s="542"/>
      <c r="C37" s="686">
        <f t="shared" si="6"/>
        <v>0</v>
      </c>
      <c r="D37" s="686">
        <f t="shared" si="7"/>
        <v>0</v>
      </c>
      <c r="E37" s="686"/>
      <c r="F37" s="686"/>
      <c r="G37" s="686">
        <f t="shared" si="3"/>
        <v>0</v>
      </c>
      <c r="H37" s="686"/>
      <c r="I37" s="686">
        <f t="shared" si="4"/>
        <v>0</v>
      </c>
      <c r="J37" s="686">
        <f t="shared" si="4"/>
        <v>0</v>
      </c>
      <c r="K37" s="686">
        <f t="shared" si="4"/>
        <v>0</v>
      </c>
      <c r="L37" s="686"/>
      <c r="M37" s="542"/>
      <c r="N37" s="542"/>
      <c r="O37" s="542"/>
      <c r="P37" s="686"/>
      <c r="Q37" s="542"/>
      <c r="R37" s="542"/>
      <c r="S37" s="542"/>
    </row>
    <row r="38" spans="1:19" hidden="1">
      <c r="A38" s="704">
        <f t="shared" si="5"/>
        <v>5.1099999999999977</v>
      </c>
      <c r="B38" s="542"/>
      <c r="C38" s="686">
        <f t="shared" si="6"/>
        <v>0</v>
      </c>
      <c r="D38" s="686">
        <f t="shared" si="7"/>
        <v>0</v>
      </c>
      <c r="E38" s="686"/>
      <c r="F38" s="686"/>
      <c r="G38" s="686">
        <f t="shared" si="3"/>
        <v>0</v>
      </c>
      <c r="H38" s="686"/>
      <c r="I38" s="686">
        <f t="shared" si="4"/>
        <v>0</v>
      </c>
      <c r="J38" s="686">
        <f t="shared" si="4"/>
        <v>0</v>
      </c>
      <c r="K38" s="686">
        <f t="shared" si="4"/>
        <v>0</v>
      </c>
      <c r="L38" s="686"/>
      <c r="M38" s="542"/>
      <c r="N38" s="542"/>
      <c r="O38" s="542"/>
      <c r="P38" s="686"/>
      <c r="Q38" s="542"/>
      <c r="R38" s="542"/>
      <c r="S38" s="542"/>
    </row>
    <row r="39" spans="1:19" hidden="1">
      <c r="A39" s="704">
        <f t="shared" si="5"/>
        <v>5.1199999999999974</v>
      </c>
      <c r="B39" s="542"/>
      <c r="C39" s="686">
        <f t="shared" si="6"/>
        <v>0</v>
      </c>
      <c r="D39" s="686">
        <f t="shared" si="7"/>
        <v>0</v>
      </c>
      <c r="E39" s="686"/>
      <c r="F39" s="686"/>
      <c r="G39" s="686">
        <f t="shared" si="3"/>
        <v>0</v>
      </c>
      <c r="H39" s="686"/>
      <c r="I39" s="686">
        <f t="shared" si="4"/>
        <v>0</v>
      </c>
      <c r="J39" s="686">
        <f t="shared" si="4"/>
        <v>0</v>
      </c>
      <c r="K39" s="686">
        <f t="shared" si="4"/>
        <v>0</v>
      </c>
      <c r="L39" s="686"/>
      <c r="M39" s="542"/>
      <c r="N39" s="542"/>
      <c r="O39" s="542"/>
      <c r="P39" s="686"/>
      <c r="Q39" s="542"/>
      <c r="R39" s="542"/>
      <c r="S39" s="542"/>
    </row>
    <row r="40" spans="1:19" hidden="1">
      <c r="A40" s="704">
        <f t="shared" si="5"/>
        <v>5.1299999999999972</v>
      </c>
      <c r="B40" s="542"/>
      <c r="C40" s="686">
        <f t="shared" si="1"/>
        <v>0</v>
      </c>
      <c r="D40" s="686">
        <f t="shared" si="2"/>
        <v>0</v>
      </c>
      <c r="E40" s="686"/>
      <c r="F40" s="686"/>
      <c r="G40" s="686">
        <f t="shared" si="3"/>
        <v>0</v>
      </c>
      <c r="H40" s="686"/>
      <c r="I40" s="686">
        <f t="shared" si="4"/>
        <v>0</v>
      </c>
      <c r="J40" s="686">
        <f t="shared" si="4"/>
        <v>0</v>
      </c>
      <c r="K40" s="686">
        <f t="shared" si="4"/>
        <v>0</v>
      </c>
      <c r="L40" s="686"/>
      <c r="M40" s="542"/>
      <c r="N40" s="542"/>
      <c r="O40" s="542"/>
      <c r="P40" s="686"/>
      <c r="Q40" s="542"/>
      <c r="R40" s="542"/>
      <c r="S40" s="542"/>
    </row>
    <row r="41" spans="1:19" hidden="1">
      <c r="A41" s="704">
        <f t="shared" si="5"/>
        <v>5.139999999999997</v>
      </c>
      <c r="B41" s="542"/>
      <c r="C41" s="686">
        <f t="shared" si="1"/>
        <v>0</v>
      </c>
      <c r="D41" s="686">
        <f t="shared" si="2"/>
        <v>0</v>
      </c>
      <c r="E41" s="686"/>
      <c r="F41" s="686"/>
      <c r="G41" s="686">
        <f t="shared" si="3"/>
        <v>0</v>
      </c>
      <c r="H41" s="686"/>
      <c r="I41" s="686">
        <f t="shared" si="4"/>
        <v>0</v>
      </c>
      <c r="J41" s="686">
        <f t="shared" si="4"/>
        <v>0</v>
      </c>
      <c r="K41" s="686">
        <f t="shared" si="4"/>
        <v>0</v>
      </c>
      <c r="L41" s="686"/>
      <c r="M41" s="542"/>
      <c r="N41" s="542"/>
      <c r="O41" s="542"/>
      <c r="P41" s="686"/>
      <c r="Q41" s="542"/>
      <c r="R41" s="542"/>
      <c r="S41" s="542"/>
    </row>
    <row r="42" spans="1:19" hidden="1">
      <c r="A42" s="704">
        <f t="shared" si="5"/>
        <v>5.1499999999999968</v>
      </c>
      <c r="B42" s="542"/>
      <c r="C42" s="686">
        <f t="shared" si="1"/>
        <v>0</v>
      </c>
      <c r="D42" s="686">
        <f t="shared" si="2"/>
        <v>0</v>
      </c>
      <c r="E42" s="686"/>
      <c r="F42" s="686"/>
      <c r="G42" s="686">
        <f t="shared" si="3"/>
        <v>0</v>
      </c>
      <c r="H42" s="686"/>
      <c r="I42" s="686">
        <f t="shared" si="4"/>
        <v>0</v>
      </c>
      <c r="J42" s="686">
        <f t="shared" si="4"/>
        <v>0</v>
      </c>
      <c r="K42" s="686">
        <f t="shared" si="4"/>
        <v>0</v>
      </c>
      <c r="L42" s="686"/>
      <c r="M42" s="542"/>
      <c r="N42" s="542"/>
      <c r="O42" s="542"/>
      <c r="P42" s="686"/>
      <c r="Q42" s="542"/>
      <c r="R42" s="542"/>
      <c r="S42" s="542"/>
    </row>
    <row r="43" spans="1:19" hidden="1">
      <c r="A43" s="704">
        <f t="shared" si="5"/>
        <v>5.1599999999999966</v>
      </c>
      <c r="B43" s="542"/>
      <c r="C43" s="686">
        <f t="shared" si="1"/>
        <v>0</v>
      </c>
      <c r="D43" s="686">
        <f t="shared" si="2"/>
        <v>0</v>
      </c>
      <c r="E43" s="686"/>
      <c r="F43" s="686"/>
      <c r="G43" s="686">
        <f t="shared" si="3"/>
        <v>0</v>
      </c>
      <c r="H43" s="686"/>
      <c r="I43" s="686">
        <f t="shared" si="4"/>
        <v>0</v>
      </c>
      <c r="J43" s="686">
        <f t="shared" si="4"/>
        <v>0</v>
      </c>
      <c r="K43" s="686">
        <f t="shared" si="4"/>
        <v>0</v>
      </c>
      <c r="L43" s="686"/>
      <c r="M43" s="542"/>
      <c r="N43" s="542"/>
      <c r="O43" s="542"/>
      <c r="P43" s="686"/>
      <c r="Q43" s="542"/>
      <c r="R43" s="542"/>
      <c r="S43" s="542"/>
    </row>
    <row r="44" spans="1:19" hidden="1">
      <c r="A44" s="704">
        <f t="shared" si="5"/>
        <v>5.1699999999999964</v>
      </c>
      <c r="B44" s="542"/>
      <c r="C44" s="686">
        <f t="shared" si="1"/>
        <v>0</v>
      </c>
      <c r="D44" s="686">
        <f t="shared" si="2"/>
        <v>0</v>
      </c>
      <c r="E44" s="686"/>
      <c r="F44" s="686"/>
      <c r="G44" s="686">
        <f t="shared" si="3"/>
        <v>0</v>
      </c>
      <c r="H44" s="686"/>
      <c r="I44" s="686">
        <f t="shared" si="4"/>
        <v>0</v>
      </c>
      <c r="J44" s="686">
        <f t="shared" si="4"/>
        <v>0</v>
      </c>
      <c r="K44" s="686">
        <f t="shared" si="4"/>
        <v>0</v>
      </c>
      <c r="L44" s="686"/>
      <c r="M44" s="542"/>
      <c r="N44" s="542"/>
      <c r="O44" s="542"/>
      <c r="P44" s="686"/>
      <c r="Q44" s="542"/>
      <c r="R44" s="542"/>
      <c r="S44" s="542"/>
    </row>
    <row r="45" spans="1:19" hidden="1">
      <c r="A45" s="704">
        <f t="shared" si="5"/>
        <v>5.1799999999999962</v>
      </c>
      <c r="B45" s="542"/>
      <c r="C45" s="686">
        <f t="shared" si="1"/>
        <v>0</v>
      </c>
      <c r="D45" s="686">
        <f t="shared" si="2"/>
        <v>0</v>
      </c>
      <c r="E45" s="686"/>
      <c r="F45" s="686"/>
      <c r="G45" s="686">
        <f t="shared" si="3"/>
        <v>0</v>
      </c>
      <c r="H45" s="686"/>
      <c r="I45" s="686">
        <f t="shared" si="4"/>
        <v>0</v>
      </c>
      <c r="J45" s="686">
        <f t="shared" si="4"/>
        <v>0</v>
      </c>
      <c r="K45" s="686">
        <f t="shared" si="4"/>
        <v>0</v>
      </c>
      <c r="L45" s="686"/>
      <c r="M45" s="542"/>
      <c r="N45" s="542"/>
      <c r="O45" s="542"/>
      <c r="P45" s="686"/>
      <c r="Q45" s="542"/>
      <c r="R45" s="542"/>
      <c r="S45" s="542"/>
    </row>
    <row r="46" spans="1:19" hidden="1">
      <c r="A46" s="704">
        <f t="shared" si="5"/>
        <v>5.1899999999999959</v>
      </c>
      <c r="B46" s="542"/>
      <c r="C46" s="686">
        <f t="shared" si="1"/>
        <v>0</v>
      </c>
      <c r="D46" s="686">
        <f t="shared" si="2"/>
        <v>0</v>
      </c>
      <c r="E46" s="686"/>
      <c r="F46" s="686"/>
      <c r="G46" s="686">
        <f t="shared" si="3"/>
        <v>0</v>
      </c>
      <c r="H46" s="686"/>
      <c r="I46" s="686">
        <f t="shared" si="4"/>
        <v>0</v>
      </c>
      <c r="J46" s="686">
        <f t="shared" si="4"/>
        <v>0</v>
      </c>
      <c r="K46" s="686">
        <f t="shared" si="4"/>
        <v>0</v>
      </c>
      <c r="L46" s="686"/>
      <c r="M46" s="542"/>
      <c r="N46" s="542"/>
      <c r="O46" s="542"/>
      <c r="P46" s="686"/>
      <c r="Q46" s="542"/>
      <c r="R46" s="542"/>
      <c r="S46" s="542"/>
    </row>
    <row r="47" spans="1:19" hidden="1">
      <c r="A47" s="704">
        <f t="shared" si="5"/>
        <v>5.1999999999999957</v>
      </c>
      <c r="B47" s="542"/>
      <c r="C47" s="686">
        <f t="shared" si="1"/>
        <v>0</v>
      </c>
      <c r="D47" s="686">
        <f t="shared" si="2"/>
        <v>0</v>
      </c>
      <c r="E47" s="686"/>
      <c r="F47" s="686"/>
      <c r="G47" s="686">
        <f t="shared" si="3"/>
        <v>0</v>
      </c>
      <c r="H47" s="686"/>
      <c r="I47" s="686">
        <f t="shared" si="4"/>
        <v>0</v>
      </c>
      <c r="J47" s="686">
        <f t="shared" si="4"/>
        <v>0</v>
      </c>
      <c r="K47" s="686">
        <f t="shared" si="4"/>
        <v>0</v>
      </c>
      <c r="L47" s="686"/>
      <c r="M47" s="542"/>
      <c r="N47" s="542"/>
      <c r="O47" s="542"/>
      <c r="P47" s="686"/>
      <c r="Q47" s="542"/>
      <c r="R47" s="542"/>
      <c r="S47" s="542"/>
    </row>
    <row r="48" spans="1:19" hidden="1">
      <c r="A48" s="704">
        <f t="shared" si="5"/>
        <v>5.2099999999999955</v>
      </c>
      <c r="B48" s="542"/>
      <c r="C48" s="686">
        <f t="shared" si="1"/>
        <v>0</v>
      </c>
      <c r="D48" s="686">
        <f t="shared" si="2"/>
        <v>0</v>
      </c>
      <c r="E48" s="686"/>
      <c r="F48" s="686"/>
      <c r="G48" s="686">
        <f t="shared" si="3"/>
        <v>0</v>
      </c>
      <c r="H48" s="686"/>
      <c r="I48" s="686">
        <f t="shared" si="4"/>
        <v>0</v>
      </c>
      <c r="J48" s="686">
        <f t="shared" si="4"/>
        <v>0</v>
      </c>
      <c r="K48" s="686">
        <f t="shared" si="4"/>
        <v>0</v>
      </c>
      <c r="L48" s="686"/>
      <c r="M48" s="542"/>
      <c r="N48" s="542"/>
      <c r="O48" s="542"/>
      <c r="P48" s="686"/>
      <c r="Q48" s="542"/>
      <c r="R48" s="542"/>
      <c r="S48" s="542"/>
    </row>
    <row r="49" spans="1:19" hidden="1">
      <c r="A49" s="704">
        <f t="shared" si="5"/>
        <v>5.2199999999999953</v>
      </c>
      <c r="B49" s="542"/>
      <c r="C49" s="686">
        <f t="shared" ref="C49:C55" si="8">SUM(M49:O49)</f>
        <v>0</v>
      </c>
      <c r="D49" s="686">
        <f t="shared" ref="D49:D55" si="9">SUM(Q49:S49)</f>
        <v>0</v>
      </c>
      <c r="E49" s="686"/>
      <c r="F49" s="686"/>
      <c r="G49" s="686">
        <f t="shared" si="3"/>
        <v>0</v>
      </c>
      <c r="H49" s="686"/>
      <c r="I49" s="686">
        <f t="shared" si="4"/>
        <v>0</v>
      </c>
      <c r="J49" s="686">
        <f t="shared" si="4"/>
        <v>0</v>
      </c>
      <c r="K49" s="686">
        <f t="shared" si="4"/>
        <v>0</v>
      </c>
      <c r="L49" s="686"/>
      <c r="M49" s="542"/>
      <c r="N49" s="542"/>
      <c r="O49" s="542"/>
      <c r="P49" s="686"/>
      <c r="Q49" s="542"/>
      <c r="R49" s="542"/>
      <c r="S49" s="542"/>
    </row>
    <row r="50" spans="1:19" hidden="1">
      <c r="A50" s="704">
        <f t="shared" si="5"/>
        <v>5.2299999999999951</v>
      </c>
      <c r="B50" s="542"/>
      <c r="C50" s="686">
        <f t="shared" si="8"/>
        <v>0</v>
      </c>
      <c r="D50" s="686">
        <f t="shared" si="9"/>
        <v>0</v>
      </c>
      <c r="E50" s="686"/>
      <c r="F50" s="686"/>
      <c r="G50" s="686">
        <f t="shared" si="3"/>
        <v>0</v>
      </c>
      <c r="H50" s="686"/>
      <c r="I50" s="686">
        <f t="shared" si="4"/>
        <v>0</v>
      </c>
      <c r="J50" s="686">
        <f t="shared" si="4"/>
        <v>0</v>
      </c>
      <c r="K50" s="686">
        <f t="shared" si="4"/>
        <v>0</v>
      </c>
      <c r="L50" s="686"/>
      <c r="M50" s="542"/>
      <c r="N50" s="542"/>
      <c r="O50" s="542"/>
      <c r="P50" s="686"/>
      <c r="Q50" s="542"/>
      <c r="R50" s="542"/>
      <c r="S50" s="542"/>
    </row>
    <row r="51" spans="1:19" hidden="1">
      <c r="A51" s="704">
        <f t="shared" si="5"/>
        <v>5.2399999999999949</v>
      </c>
      <c r="B51" s="542"/>
      <c r="C51" s="686">
        <f t="shared" si="8"/>
        <v>0</v>
      </c>
      <c r="D51" s="686">
        <f t="shared" si="9"/>
        <v>0</v>
      </c>
      <c r="E51" s="686"/>
      <c r="F51" s="686"/>
      <c r="G51" s="686">
        <f>ROUND(SUM(C51:F51)/2,0)</f>
        <v>0</v>
      </c>
      <c r="H51" s="686"/>
      <c r="I51" s="686">
        <f t="shared" si="4"/>
        <v>0</v>
      </c>
      <c r="J51" s="686">
        <f t="shared" si="4"/>
        <v>0</v>
      </c>
      <c r="K51" s="686">
        <f t="shared" si="4"/>
        <v>0</v>
      </c>
      <c r="L51" s="686"/>
      <c r="M51" s="542"/>
      <c r="N51" s="542"/>
      <c r="O51" s="542"/>
      <c r="P51" s="686"/>
      <c r="Q51" s="542"/>
      <c r="R51" s="542"/>
      <c r="S51" s="542"/>
    </row>
    <row r="52" spans="1:19" hidden="1">
      <c r="A52" s="704">
        <f t="shared" si="5"/>
        <v>5.2499999999999947</v>
      </c>
      <c r="B52" s="542"/>
      <c r="C52" s="686">
        <f t="shared" si="8"/>
        <v>0</v>
      </c>
      <c r="D52" s="686">
        <f t="shared" si="9"/>
        <v>0</v>
      </c>
      <c r="E52" s="686"/>
      <c r="F52" s="686"/>
      <c r="G52" s="686">
        <f>ROUND(SUM(C52:F52)/2,0)</f>
        <v>0</v>
      </c>
      <c r="H52" s="686"/>
      <c r="I52" s="686">
        <f t="shared" si="4"/>
        <v>0</v>
      </c>
      <c r="J52" s="686">
        <f t="shared" si="4"/>
        <v>0</v>
      </c>
      <c r="K52" s="686">
        <f t="shared" si="4"/>
        <v>0</v>
      </c>
      <c r="L52" s="686"/>
      <c r="M52" s="542"/>
      <c r="N52" s="542"/>
      <c r="O52" s="542"/>
      <c r="P52" s="686"/>
      <c r="Q52" s="542"/>
      <c r="R52" s="542"/>
      <c r="S52" s="542"/>
    </row>
    <row r="53" spans="1:19" hidden="1">
      <c r="A53" s="704">
        <f t="shared" si="5"/>
        <v>5.2599999999999945</v>
      </c>
      <c r="B53" s="542"/>
      <c r="C53" s="686">
        <f t="shared" si="8"/>
        <v>0</v>
      </c>
      <c r="D53" s="686">
        <f t="shared" si="9"/>
        <v>0</v>
      </c>
      <c r="E53" s="686"/>
      <c r="F53" s="686"/>
      <c r="G53" s="686">
        <f>ROUND(SUM(C53:F53)/2,0)</f>
        <v>0</v>
      </c>
      <c r="H53" s="686"/>
      <c r="I53" s="686">
        <f t="shared" si="4"/>
        <v>0</v>
      </c>
      <c r="J53" s="686">
        <f t="shared" si="4"/>
        <v>0</v>
      </c>
      <c r="K53" s="686">
        <f t="shared" si="4"/>
        <v>0</v>
      </c>
      <c r="L53" s="686"/>
      <c r="M53" s="542"/>
      <c r="N53" s="542"/>
      <c r="O53" s="542"/>
      <c r="P53" s="686"/>
      <c r="Q53" s="542"/>
      <c r="R53" s="542"/>
      <c r="S53" s="542"/>
    </row>
    <row r="54" spans="1:19" hidden="1">
      <c r="A54" s="704">
        <f t="shared" si="5"/>
        <v>5.2699999999999942</v>
      </c>
      <c r="B54" s="542"/>
      <c r="C54" s="686">
        <f t="shared" si="8"/>
        <v>0</v>
      </c>
      <c r="D54" s="686">
        <f t="shared" si="9"/>
        <v>0</v>
      </c>
      <c r="E54" s="686"/>
      <c r="F54" s="686"/>
      <c r="G54" s="686">
        <f>ROUND(SUM(C54:F54)/2,0)</f>
        <v>0</v>
      </c>
      <c r="H54" s="686"/>
      <c r="I54" s="686">
        <f t="shared" si="4"/>
        <v>0</v>
      </c>
      <c r="J54" s="686">
        <f t="shared" si="4"/>
        <v>0</v>
      </c>
      <c r="K54" s="686">
        <f t="shared" si="4"/>
        <v>0</v>
      </c>
      <c r="L54" s="686"/>
      <c r="M54" s="542"/>
      <c r="N54" s="542"/>
      <c r="O54" s="542"/>
      <c r="P54" s="686"/>
      <c r="Q54" s="542"/>
      <c r="R54" s="542"/>
      <c r="S54" s="542"/>
    </row>
    <row r="55" spans="1:19" hidden="1">
      <c r="A55" s="704">
        <f t="shared" si="5"/>
        <v>5.279999999999994</v>
      </c>
      <c r="B55" s="542"/>
      <c r="C55" s="686">
        <f t="shared" si="8"/>
        <v>0</v>
      </c>
      <c r="D55" s="686">
        <f t="shared" si="9"/>
        <v>0</v>
      </c>
      <c r="E55" s="686"/>
      <c r="F55" s="686"/>
      <c r="G55" s="686">
        <f>ROUND(SUM(C55:F55)/2,0)</f>
        <v>0</v>
      </c>
      <c r="H55" s="686"/>
      <c r="I55" s="686">
        <f t="shared" si="4"/>
        <v>0</v>
      </c>
      <c r="J55" s="686">
        <f t="shared" si="4"/>
        <v>0</v>
      </c>
      <c r="K55" s="686">
        <f t="shared" si="4"/>
        <v>0</v>
      </c>
      <c r="L55" s="686"/>
      <c r="M55" s="542"/>
      <c r="N55" s="542"/>
      <c r="O55" s="542"/>
      <c r="P55" s="686"/>
      <c r="Q55" s="542"/>
      <c r="R55" s="542"/>
      <c r="S55" s="542"/>
    </row>
    <row r="56" spans="1:19" hidden="1">
      <c r="A56" s="704">
        <f t="shared" si="5"/>
        <v>5.2899999999999938</v>
      </c>
      <c r="B56" s="542"/>
      <c r="C56" s="686">
        <f t="shared" si="1"/>
        <v>0</v>
      </c>
      <c r="D56" s="686">
        <f t="shared" si="2"/>
        <v>0</v>
      </c>
      <c r="E56" s="686"/>
      <c r="F56" s="686"/>
      <c r="G56" s="686">
        <f t="shared" ref="G56:G68" si="10">ROUND(SUM(C56:F56)/2,0)</f>
        <v>0</v>
      </c>
      <c r="H56" s="686"/>
      <c r="I56" s="686">
        <f t="shared" si="4"/>
        <v>0</v>
      </c>
      <c r="J56" s="686">
        <f t="shared" si="4"/>
        <v>0</v>
      </c>
      <c r="K56" s="686">
        <f t="shared" si="4"/>
        <v>0</v>
      </c>
      <c r="L56" s="686"/>
      <c r="M56" s="542"/>
      <c r="N56" s="542"/>
      <c r="O56" s="542"/>
      <c r="P56" s="686"/>
      <c r="Q56" s="542"/>
      <c r="R56" s="542"/>
      <c r="S56" s="542"/>
    </row>
    <row r="57" spans="1:19" hidden="1">
      <c r="A57" s="704">
        <f t="shared" si="5"/>
        <v>5.2999999999999936</v>
      </c>
      <c r="B57" s="542"/>
      <c r="C57" s="686">
        <f t="shared" si="1"/>
        <v>0</v>
      </c>
      <c r="D57" s="686">
        <f t="shared" si="2"/>
        <v>0</v>
      </c>
      <c r="E57" s="686"/>
      <c r="F57" s="686"/>
      <c r="G57" s="686">
        <f t="shared" si="10"/>
        <v>0</v>
      </c>
      <c r="H57" s="686"/>
      <c r="I57" s="686">
        <f t="shared" si="4"/>
        <v>0</v>
      </c>
      <c r="J57" s="686">
        <f t="shared" si="4"/>
        <v>0</v>
      </c>
      <c r="K57" s="686">
        <f t="shared" si="4"/>
        <v>0</v>
      </c>
      <c r="L57" s="686"/>
      <c r="M57" s="542"/>
      <c r="N57" s="542"/>
      <c r="O57" s="542"/>
      <c r="P57" s="686"/>
      <c r="Q57" s="542"/>
      <c r="R57" s="542"/>
      <c r="S57" s="542"/>
    </row>
    <row r="58" spans="1:19" hidden="1">
      <c r="A58" s="704">
        <f t="shared" si="5"/>
        <v>5.3099999999999934</v>
      </c>
      <c r="B58" s="542"/>
      <c r="C58" s="686">
        <f>SUM(M58:O58)</f>
        <v>0</v>
      </c>
      <c r="D58" s="686">
        <f>SUM(Q58:S58)</f>
        <v>0</v>
      </c>
      <c r="E58" s="686"/>
      <c r="F58" s="686"/>
      <c r="G58" s="686">
        <f>ROUND(SUM(C58:F58)/2,0)</f>
        <v>0</v>
      </c>
      <c r="H58" s="686"/>
      <c r="I58" s="686">
        <f t="shared" si="4"/>
        <v>0</v>
      </c>
      <c r="J58" s="686">
        <f t="shared" si="4"/>
        <v>0</v>
      </c>
      <c r="K58" s="686">
        <f t="shared" si="4"/>
        <v>0</v>
      </c>
      <c r="L58" s="686"/>
      <c r="M58" s="542"/>
      <c r="N58" s="542"/>
      <c r="O58" s="542"/>
      <c r="P58" s="686"/>
      <c r="Q58" s="542"/>
      <c r="R58" s="542"/>
      <c r="S58" s="542"/>
    </row>
    <row r="59" spans="1:19" hidden="1">
      <c r="A59" s="704">
        <f t="shared" si="5"/>
        <v>5.3199999999999932</v>
      </c>
      <c r="B59" s="542"/>
      <c r="C59" s="686">
        <f t="shared" si="1"/>
        <v>0</v>
      </c>
      <c r="D59" s="686">
        <f t="shared" si="2"/>
        <v>0</v>
      </c>
      <c r="E59" s="686"/>
      <c r="F59" s="686"/>
      <c r="G59" s="686">
        <f t="shared" si="10"/>
        <v>0</v>
      </c>
      <c r="H59" s="686"/>
      <c r="I59" s="686">
        <f t="shared" si="4"/>
        <v>0</v>
      </c>
      <c r="J59" s="686">
        <f t="shared" si="4"/>
        <v>0</v>
      </c>
      <c r="K59" s="686">
        <f t="shared" si="4"/>
        <v>0</v>
      </c>
      <c r="L59" s="686"/>
      <c r="M59" s="542"/>
      <c r="N59" s="542"/>
      <c r="O59" s="542"/>
      <c r="P59" s="686"/>
      <c r="Q59" s="542"/>
      <c r="R59" s="542"/>
      <c r="S59" s="542"/>
    </row>
    <row r="60" spans="1:19" hidden="1">
      <c r="A60" s="704">
        <f t="shared" si="5"/>
        <v>5.329999999999993</v>
      </c>
      <c r="B60" s="542"/>
      <c r="C60" s="686">
        <f t="shared" si="1"/>
        <v>0</v>
      </c>
      <c r="D60" s="686">
        <f t="shared" si="2"/>
        <v>0</v>
      </c>
      <c r="E60" s="686"/>
      <c r="F60" s="686"/>
      <c r="G60" s="686">
        <f t="shared" si="10"/>
        <v>0</v>
      </c>
      <c r="H60" s="686"/>
      <c r="I60" s="686">
        <f t="shared" si="4"/>
        <v>0</v>
      </c>
      <c r="J60" s="686">
        <f t="shared" si="4"/>
        <v>0</v>
      </c>
      <c r="K60" s="686">
        <f t="shared" si="4"/>
        <v>0</v>
      </c>
      <c r="L60" s="686"/>
      <c r="M60" s="542"/>
      <c r="N60" s="542"/>
      <c r="O60" s="542"/>
      <c r="P60" s="686"/>
      <c r="Q60" s="542"/>
      <c r="R60" s="542"/>
      <c r="S60" s="542"/>
    </row>
    <row r="61" spans="1:19" hidden="1">
      <c r="A61" s="704">
        <f t="shared" si="5"/>
        <v>5.3399999999999928</v>
      </c>
      <c r="B61" s="542"/>
      <c r="C61" s="691">
        <f>SUM(M61:O61)</f>
        <v>0</v>
      </c>
      <c r="D61" s="691">
        <f>SUM(Q61:S61)</f>
        <v>0</v>
      </c>
      <c r="E61" s="691"/>
      <c r="F61" s="691"/>
      <c r="G61" s="691">
        <f>ROUND(SUM(C61:F61)/2,0)</f>
        <v>0</v>
      </c>
      <c r="H61" s="691"/>
      <c r="I61" s="691">
        <f t="shared" si="4"/>
        <v>0</v>
      </c>
      <c r="J61" s="691">
        <f t="shared" si="4"/>
        <v>0</v>
      </c>
      <c r="K61" s="691">
        <f t="shared" si="4"/>
        <v>0</v>
      </c>
      <c r="L61" s="691"/>
      <c r="M61" s="542"/>
      <c r="N61" s="542"/>
      <c r="O61" s="542"/>
      <c r="P61" s="691"/>
      <c r="Q61" s="542"/>
      <c r="R61" s="542"/>
      <c r="S61" s="542"/>
    </row>
    <row r="62" spans="1:19" hidden="1">
      <c r="A62" s="704">
        <f t="shared" si="5"/>
        <v>5.3499999999999925</v>
      </c>
      <c r="B62" s="542"/>
      <c r="C62" s="691">
        <f t="shared" si="1"/>
        <v>0</v>
      </c>
      <c r="D62" s="691">
        <f t="shared" si="2"/>
        <v>0</v>
      </c>
      <c r="E62" s="691"/>
      <c r="F62" s="691"/>
      <c r="G62" s="691">
        <f t="shared" si="10"/>
        <v>0</v>
      </c>
      <c r="H62" s="691"/>
      <c r="I62" s="691">
        <f t="shared" si="4"/>
        <v>0</v>
      </c>
      <c r="J62" s="691">
        <f t="shared" si="4"/>
        <v>0</v>
      </c>
      <c r="K62" s="691">
        <f t="shared" si="4"/>
        <v>0</v>
      </c>
      <c r="L62" s="691"/>
      <c r="M62" s="542"/>
      <c r="N62" s="542"/>
      <c r="O62" s="542"/>
      <c r="P62" s="691"/>
      <c r="Q62" s="542"/>
      <c r="R62" s="542"/>
      <c r="S62" s="542"/>
    </row>
    <row r="63" spans="1:19" hidden="1">
      <c r="A63" s="704">
        <f t="shared" si="5"/>
        <v>5.3599999999999923</v>
      </c>
      <c r="B63" s="542"/>
      <c r="C63" s="686">
        <f t="shared" si="1"/>
        <v>0</v>
      </c>
      <c r="D63" s="686">
        <f t="shared" si="2"/>
        <v>0</v>
      </c>
      <c r="E63" s="686"/>
      <c r="F63" s="686"/>
      <c r="G63" s="686">
        <f t="shared" si="10"/>
        <v>0</v>
      </c>
      <c r="H63" s="686"/>
      <c r="I63" s="686">
        <f t="shared" si="4"/>
        <v>0</v>
      </c>
      <c r="J63" s="686">
        <f t="shared" si="4"/>
        <v>0</v>
      </c>
      <c r="K63" s="686">
        <f t="shared" si="4"/>
        <v>0</v>
      </c>
      <c r="L63" s="686"/>
      <c r="M63" s="542"/>
      <c r="N63" s="542"/>
      <c r="O63" s="542"/>
      <c r="P63" s="686"/>
      <c r="Q63" s="542"/>
      <c r="R63" s="542"/>
      <c r="S63" s="542"/>
    </row>
    <row r="64" spans="1:19">
      <c r="A64" s="704">
        <f t="shared" si="5"/>
        <v>5.3699999999999921</v>
      </c>
      <c r="B64" s="542"/>
      <c r="C64" s="686">
        <f t="shared" si="1"/>
        <v>0</v>
      </c>
      <c r="D64" s="686">
        <f t="shared" si="2"/>
        <v>0</v>
      </c>
      <c r="E64" s="686"/>
      <c r="F64" s="686"/>
      <c r="G64" s="686">
        <f t="shared" si="10"/>
        <v>0</v>
      </c>
      <c r="H64" s="686"/>
      <c r="I64" s="686">
        <f t="shared" si="4"/>
        <v>0</v>
      </c>
      <c r="J64" s="686">
        <f t="shared" si="4"/>
        <v>0</v>
      </c>
      <c r="K64" s="686">
        <f t="shared" si="4"/>
        <v>0</v>
      </c>
      <c r="L64" s="686"/>
      <c r="M64" s="542"/>
      <c r="N64" s="542"/>
      <c r="O64" s="542"/>
      <c r="P64" s="686"/>
      <c r="Q64" s="542"/>
      <c r="R64" s="542"/>
      <c r="S64" s="542"/>
    </row>
    <row r="65" spans="1:19">
      <c r="A65" s="704">
        <f t="shared" si="5"/>
        <v>5.3799999999999919</v>
      </c>
      <c r="B65" s="542"/>
      <c r="C65" s="686">
        <f>SUM(M65:O65)</f>
        <v>0</v>
      </c>
      <c r="D65" s="686">
        <f>SUM(Q65:S65)</f>
        <v>0</v>
      </c>
      <c r="E65" s="686"/>
      <c r="F65" s="686"/>
      <c r="G65" s="686">
        <f>ROUND(SUM(C65:F65)/2,0)</f>
        <v>0</v>
      </c>
      <c r="H65" s="686"/>
      <c r="I65" s="686">
        <f t="shared" si="4"/>
        <v>0</v>
      </c>
      <c r="J65" s="686">
        <f t="shared" si="4"/>
        <v>0</v>
      </c>
      <c r="K65" s="686">
        <f t="shared" si="4"/>
        <v>0</v>
      </c>
      <c r="L65" s="686"/>
      <c r="M65" s="542"/>
      <c r="N65" s="542"/>
      <c r="O65" s="542"/>
      <c r="P65" s="686"/>
      <c r="Q65" s="542"/>
      <c r="R65" s="542"/>
      <c r="S65" s="542"/>
    </row>
    <row r="66" spans="1:19">
      <c r="A66" s="704">
        <f t="shared" si="5"/>
        <v>5.3899999999999917</v>
      </c>
      <c r="B66" s="542"/>
      <c r="C66" s="542"/>
      <c r="D66" s="542"/>
      <c r="E66" s="686">
        <f t="shared" ref="E66:F68" si="11">-C66</f>
        <v>0</v>
      </c>
      <c r="F66" s="686">
        <f t="shared" si="11"/>
        <v>0</v>
      </c>
      <c r="G66" s="686">
        <f t="shared" si="10"/>
        <v>0</v>
      </c>
      <c r="H66" s="686"/>
      <c r="I66" s="686"/>
      <c r="J66" s="686"/>
      <c r="K66" s="686"/>
      <c r="L66" s="686"/>
      <c r="M66" s="686"/>
      <c r="N66" s="686"/>
      <c r="O66" s="686"/>
      <c r="P66" s="686"/>
      <c r="Q66" s="686"/>
      <c r="R66" s="686"/>
      <c r="S66" s="686"/>
    </row>
    <row r="67" spans="1:19">
      <c r="A67" s="704">
        <f t="shared" si="5"/>
        <v>5.3999999999999915</v>
      </c>
      <c r="B67" s="542"/>
      <c r="C67" s="542"/>
      <c r="D67" s="542"/>
      <c r="E67" s="686">
        <f t="shared" si="11"/>
        <v>0</v>
      </c>
      <c r="F67" s="686">
        <f t="shared" si="11"/>
        <v>0</v>
      </c>
      <c r="G67" s="686">
        <f t="shared" si="10"/>
        <v>0</v>
      </c>
      <c r="H67" s="686"/>
      <c r="I67" s="686"/>
      <c r="J67" s="686"/>
      <c r="K67" s="686"/>
      <c r="L67" s="686"/>
      <c r="M67" s="686"/>
      <c r="N67" s="686"/>
      <c r="O67" s="686"/>
      <c r="P67" s="686"/>
      <c r="Q67" s="686"/>
      <c r="R67" s="686"/>
      <c r="S67" s="686"/>
    </row>
    <row r="68" spans="1:19">
      <c r="A68" s="704">
        <f t="shared" si="5"/>
        <v>5.4099999999999913</v>
      </c>
      <c r="B68" s="542"/>
      <c r="C68" s="542"/>
      <c r="D68" s="542"/>
      <c r="E68" s="686">
        <f t="shared" si="11"/>
        <v>0</v>
      </c>
      <c r="F68" s="686">
        <f t="shared" si="11"/>
        <v>0</v>
      </c>
      <c r="G68" s="686">
        <f t="shared" si="10"/>
        <v>0</v>
      </c>
      <c r="H68" s="686"/>
      <c r="I68" s="686"/>
      <c r="J68" s="686"/>
      <c r="K68" s="686"/>
      <c r="L68" s="686"/>
      <c r="M68" s="686"/>
      <c r="N68" s="686"/>
      <c r="O68" s="686"/>
      <c r="P68" s="686"/>
      <c r="Q68" s="686"/>
      <c r="R68" s="686"/>
      <c r="S68" s="686"/>
    </row>
    <row r="70" spans="1:19">
      <c r="A70" s="695"/>
      <c r="B70" s="679"/>
      <c r="C70" s="686"/>
      <c r="D70" s="686"/>
      <c r="E70" s="686"/>
      <c r="F70" s="686"/>
      <c r="G70" s="686"/>
      <c r="H70" s="686"/>
      <c r="I70" s="686"/>
      <c r="J70" s="686"/>
      <c r="K70" s="686"/>
      <c r="L70" s="686"/>
      <c r="M70" s="686"/>
      <c r="N70" s="686"/>
      <c r="O70" s="686"/>
      <c r="P70" s="686"/>
      <c r="Q70" s="686"/>
      <c r="R70" s="686"/>
      <c r="S70" s="686"/>
    </row>
    <row r="71" spans="1:19" ht="13.5" thickBot="1">
      <c r="A71" s="695">
        <v>6</v>
      </c>
      <c r="B71" t="s">
        <v>725</v>
      </c>
      <c r="C71" s="689">
        <f>SUM(C28:C70)</f>
        <v>0</v>
      </c>
      <c r="D71" s="689">
        <f>SUM(D28:D70)</f>
        <v>0</v>
      </c>
      <c r="E71" s="689">
        <f>SUM(E28:E70)</f>
        <v>0</v>
      </c>
      <c r="F71" s="689">
        <f>SUM(F28:F70)</f>
        <v>0</v>
      </c>
      <c r="G71" s="689">
        <f>SUM(G28:G70)</f>
        <v>0</v>
      </c>
      <c r="H71" s="686"/>
      <c r="I71" s="689">
        <f>SUM(I28:I70)</f>
        <v>0</v>
      </c>
      <c r="J71" s="689">
        <f>SUM(J28:J70)</f>
        <v>0</v>
      </c>
      <c r="K71" s="689">
        <f>SUM(K28:K70)</f>
        <v>0</v>
      </c>
      <c r="L71" s="686"/>
      <c r="M71" s="689">
        <f>SUM(M28:M70)</f>
        <v>0</v>
      </c>
      <c r="N71" s="689">
        <f>SUM(N28:N70)</f>
        <v>0</v>
      </c>
      <c r="O71" s="689">
        <f>SUM(O28:O70)</f>
        <v>0</v>
      </c>
      <c r="P71" s="686"/>
      <c r="Q71" s="689">
        <f>SUM(Q28:Q70)</f>
        <v>0</v>
      </c>
      <c r="R71" s="689">
        <f>SUM(R28:R70)</f>
        <v>0</v>
      </c>
      <c r="S71" s="689">
        <f>SUM(S28:S70)</f>
        <v>0</v>
      </c>
    </row>
    <row r="72" spans="1:19" ht="13.5" thickTop="1">
      <c r="A72" s="695">
        <f>A71+1</f>
        <v>7</v>
      </c>
      <c r="B72" s="15" t="s">
        <v>738</v>
      </c>
      <c r="C72" s="690">
        <f>SUM(C34,C35,C61,C62)</f>
        <v>0</v>
      </c>
      <c r="D72" s="690">
        <f>SUM(D34,D35,D61,D62)</f>
        <v>0</v>
      </c>
      <c r="E72" s="690">
        <f>SUM(E34,E35,E61,E62)</f>
        <v>0</v>
      </c>
      <c r="F72" s="690">
        <f>SUM(F34,F35,F61,F62)</f>
        <v>0</v>
      </c>
      <c r="G72" s="690">
        <f>SUM(G34,G35,G61,G62)</f>
        <v>0</v>
      </c>
      <c r="H72" s="686"/>
      <c r="I72" s="690">
        <f>SUM(I34,I35,I61,I62)</f>
        <v>0</v>
      </c>
      <c r="J72" s="690">
        <f>SUM(J34,J35,J61,J62)</f>
        <v>0</v>
      </c>
      <c r="K72" s="690">
        <f>SUM(K34,K35,K61,K62)</f>
        <v>0</v>
      </c>
      <c r="L72" s="690"/>
      <c r="M72" s="690">
        <f>SUM(M34,M35,M61,M62)</f>
        <v>0</v>
      </c>
      <c r="N72" s="690">
        <f>SUM(N34,N35,N61,N62)</f>
        <v>0</v>
      </c>
      <c r="O72" s="690">
        <f>SUM(O34,O35,O61,O62)</f>
        <v>0</v>
      </c>
      <c r="P72" s="686"/>
      <c r="Q72" s="690">
        <f>SUM(Q34,Q35,Q61,Q62)</f>
        <v>0</v>
      </c>
      <c r="R72" s="690">
        <f>SUM(R34,R35,R61,R62)</f>
        <v>0</v>
      </c>
      <c r="S72" s="690">
        <f>SUM(S34,S35,S61,S62)</f>
        <v>0</v>
      </c>
    </row>
    <row r="73" spans="1:19">
      <c r="A73" s="695"/>
      <c r="C73" s="686"/>
      <c r="D73" s="686"/>
      <c r="E73" s="686"/>
      <c r="F73" s="686"/>
      <c r="G73" s="686"/>
      <c r="H73" s="686"/>
      <c r="I73" s="686"/>
      <c r="J73" s="686"/>
      <c r="K73" s="686"/>
      <c r="L73" s="686"/>
      <c r="M73" s="686"/>
      <c r="N73" s="686"/>
      <c r="O73" s="686"/>
      <c r="P73" s="686"/>
      <c r="Q73" s="686"/>
      <c r="R73" s="686"/>
      <c r="S73" s="686"/>
    </row>
    <row r="74" spans="1:19">
      <c r="A74" s="695">
        <v>8</v>
      </c>
      <c r="B74" t="s">
        <v>726</v>
      </c>
      <c r="C74" s="686" t="s">
        <v>114</v>
      </c>
      <c r="D74" s="686"/>
      <c r="E74" s="686"/>
      <c r="F74" s="686"/>
      <c r="G74" s="686"/>
      <c r="H74" s="686"/>
      <c r="I74" s="686"/>
      <c r="J74" s="686"/>
      <c r="K74" s="686"/>
      <c r="L74" s="686"/>
      <c r="M74" s="686"/>
      <c r="N74" s="686"/>
      <c r="O74" s="686"/>
      <c r="P74" s="686"/>
      <c r="Q74" s="686"/>
      <c r="R74" s="686"/>
      <c r="S74" s="686"/>
    </row>
    <row r="75" spans="1:19">
      <c r="A75" s="695"/>
      <c r="B75" s="679"/>
      <c r="C75" s="686"/>
      <c r="D75" s="686"/>
      <c r="E75" s="686"/>
      <c r="F75" s="686"/>
      <c r="G75" s="686"/>
      <c r="H75" s="686"/>
      <c r="I75" s="686"/>
      <c r="J75" s="686"/>
      <c r="K75" s="686"/>
      <c r="L75" s="686"/>
      <c r="M75" s="686"/>
      <c r="N75" s="686"/>
      <c r="O75" s="686"/>
      <c r="P75" s="686"/>
      <c r="Q75" s="686"/>
      <c r="R75" s="686"/>
      <c r="S75" s="686"/>
    </row>
    <row r="76" spans="1:19">
      <c r="A76" s="704">
        <v>9.01</v>
      </c>
      <c r="B76" s="542"/>
      <c r="C76" s="686">
        <f>SUM(M76:O76)</f>
        <v>0</v>
      </c>
      <c r="D76" s="686">
        <f t="shared" ref="D76:D139" si="12">SUM(Q76:S76)</f>
        <v>0</v>
      </c>
      <c r="E76" s="686"/>
      <c r="F76" s="686"/>
      <c r="G76" s="686">
        <f t="shared" ref="G76:G130" si="13">ROUND(SUM(C76:F76)/2,0)</f>
        <v>0</v>
      </c>
      <c r="H76" s="686"/>
      <c r="I76" s="686">
        <f>(M76+Q76)/2</f>
        <v>0</v>
      </c>
      <c r="J76" s="686">
        <f>(N76+R76)/2</f>
        <v>0</v>
      </c>
      <c r="K76" s="686">
        <f>(O76+S76)/2</f>
        <v>0</v>
      </c>
      <c r="L76" s="686"/>
      <c r="M76" s="542"/>
      <c r="N76" s="542"/>
      <c r="O76" s="542"/>
      <c r="P76" s="686"/>
      <c r="Q76" s="542"/>
      <c r="R76" s="542"/>
      <c r="S76" s="542"/>
    </row>
    <row r="77" spans="1:19">
      <c r="A77" s="704">
        <f>A76+0.01</f>
        <v>9.02</v>
      </c>
      <c r="B77" s="542"/>
      <c r="C77" s="686">
        <f t="shared" ref="C77:C140" si="14">SUM(M77:O77)</f>
        <v>0</v>
      </c>
      <c r="D77" s="686">
        <f t="shared" si="12"/>
        <v>0</v>
      </c>
      <c r="E77" s="686"/>
      <c r="F77" s="686"/>
      <c r="G77" s="686">
        <f>ROUND(SUM(C77:F77)/2,0)</f>
        <v>0</v>
      </c>
      <c r="H77" s="686"/>
      <c r="I77" s="686">
        <f t="shared" ref="I77:K136" si="15">(M77+Q77)/2</f>
        <v>0</v>
      </c>
      <c r="J77" s="686">
        <f t="shared" si="15"/>
        <v>0</v>
      </c>
      <c r="K77" s="686">
        <f t="shared" si="15"/>
        <v>0</v>
      </c>
      <c r="L77" s="686"/>
      <c r="M77" s="542"/>
      <c r="N77" s="542"/>
      <c r="O77" s="542"/>
      <c r="P77" s="686"/>
      <c r="Q77" s="542"/>
      <c r="R77" s="542"/>
      <c r="S77" s="542"/>
    </row>
    <row r="78" spans="1:19">
      <c r="A78" s="704">
        <f t="shared" ref="A78:A141" si="16">A77+0.01</f>
        <v>9.0299999999999994</v>
      </c>
      <c r="B78" s="542"/>
      <c r="C78" s="686">
        <f t="shared" si="14"/>
        <v>0</v>
      </c>
      <c r="D78" s="686">
        <f t="shared" si="12"/>
        <v>0</v>
      </c>
      <c r="E78" s="686"/>
      <c r="F78" s="686"/>
      <c r="G78" s="686">
        <f t="shared" si="13"/>
        <v>0</v>
      </c>
      <c r="H78" s="686"/>
      <c r="I78" s="686">
        <f t="shared" si="15"/>
        <v>0</v>
      </c>
      <c r="J78" s="686">
        <f t="shared" si="15"/>
        <v>0</v>
      </c>
      <c r="K78" s="686">
        <f t="shared" si="15"/>
        <v>0</v>
      </c>
      <c r="L78" s="686"/>
      <c r="M78" s="542"/>
      <c r="N78" s="542"/>
      <c r="O78" s="542"/>
      <c r="P78" s="686"/>
      <c r="Q78" s="542"/>
      <c r="R78" s="542"/>
      <c r="S78" s="542"/>
    </row>
    <row r="79" spans="1:19">
      <c r="A79" s="704">
        <f t="shared" si="16"/>
        <v>9.0399999999999991</v>
      </c>
      <c r="B79" s="542"/>
      <c r="C79" s="686">
        <f t="shared" si="14"/>
        <v>0</v>
      </c>
      <c r="D79" s="686">
        <f t="shared" si="12"/>
        <v>0</v>
      </c>
      <c r="E79" s="686"/>
      <c r="F79" s="686"/>
      <c r="G79" s="686">
        <f t="shared" si="13"/>
        <v>0</v>
      </c>
      <c r="H79" s="686"/>
      <c r="I79" s="686">
        <f t="shared" si="15"/>
        <v>0</v>
      </c>
      <c r="J79" s="686">
        <f t="shared" si="15"/>
        <v>0</v>
      </c>
      <c r="K79" s="686">
        <f t="shared" si="15"/>
        <v>0</v>
      </c>
      <c r="L79" s="686"/>
      <c r="M79" s="542"/>
      <c r="N79" s="542"/>
      <c r="O79" s="542"/>
      <c r="P79" s="686"/>
      <c r="Q79" s="542"/>
      <c r="R79" s="542"/>
      <c r="S79" s="542"/>
    </row>
    <row r="80" spans="1:19">
      <c r="A80" s="704">
        <f t="shared" si="16"/>
        <v>9.0499999999999989</v>
      </c>
      <c r="B80" s="542"/>
      <c r="C80" s="686">
        <f t="shared" si="14"/>
        <v>0</v>
      </c>
      <c r="D80" s="686">
        <f t="shared" si="12"/>
        <v>0</v>
      </c>
      <c r="E80" s="686"/>
      <c r="F80" s="686"/>
      <c r="G80" s="686">
        <f t="shared" si="13"/>
        <v>0</v>
      </c>
      <c r="H80" s="686"/>
      <c r="I80" s="686">
        <f t="shared" si="15"/>
        <v>0</v>
      </c>
      <c r="J80" s="686">
        <f t="shared" si="15"/>
        <v>0</v>
      </c>
      <c r="K80" s="686">
        <f t="shared" si="15"/>
        <v>0</v>
      </c>
      <c r="L80" s="686"/>
      <c r="M80" s="542"/>
      <c r="N80" s="542"/>
      <c r="O80" s="542"/>
      <c r="P80" s="686"/>
      <c r="Q80" s="542"/>
      <c r="R80" s="542"/>
      <c r="S80" s="542"/>
    </row>
    <row r="81" spans="1:19">
      <c r="A81" s="704">
        <f t="shared" si="16"/>
        <v>9.0599999999999987</v>
      </c>
      <c r="B81" s="542"/>
      <c r="C81" s="686">
        <f t="shared" si="14"/>
        <v>0</v>
      </c>
      <c r="D81" s="686">
        <f t="shared" si="12"/>
        <v>0</v>
      </c>
      <c r="E81" s="686"/>
      <c r="F81" s="686"/>
      <c r="G81" s="686">
        <f t="shared" si="13"/>
        <v>0</v>
      </c>
      <c r="H81" s="686"/>
      <c r="I81" s="686">
        <f t="shared" si="15"/>
        <v>0</v>
      </c>
      <c r="J81" s="686">
        <f t="shared" si="15"/>
        <v>0</v>
      </c>
      <c r="K81" s="686">
        <f t="shared" si="15"/>
        <v>0</v>
      </c>
      <c r="L81" s="686"/>
      <c r="M81" s="542"/>
      <c r="N81" s="542"/>
      <c r="O81" s="542"/>
      <c r="P81" s="686"/>
      <c r="Q81" s="542"/>
      <c r="R81" s="542"/>
      <c r="S81" s="542"/>
    </row>
    <row r="82" spans="1:19">
      <c r="A82" s="704">
        <f t="shared" si="16"/>
        <v>9.0699999999999985</v>
      </c>
      <c r="B82" s="542"/>
      <c r="C82" s="686">
        <f t="shared" si="14"/>
        <v>0</v>
      </c>
      <c r="D82" s="686">
        <f t="shared" si="12"/>
        <v>0</v>
      </c>
      <c r="E82" s="686"/>
      <c r="F82" s="686"/>
      <c r="G82" s="686">
        <f>ROUND(SUM(C82:F82)/2,0)</f>
        <v>0</v>
      </c>
      <c r="H82" s="686"/>
      <c r="I82" s="686">
        <f t="shared" si="15"/>
        <v>0</v>
      </c>
      <c r="J82" s="686">
        <f t="shared" si="15"/>
        <v>0</v>
      </c>
      <c r="K82" s="686">
        <f t="shared" si="15"/>
        <v>0</v>
      </c>
      <c r="L82" s="686"/>
      <c r="M82" s="542"/>
      <c r="N82" s="542"/>
      <c r="O82" s="542"/>
      <c r="P82" s="686"/>
      <c r="Q82" s="542"/>
      <c r="R82" s="542"/>
      <c r="S82" s="542"/>
    </row>
    <row r="83" spans="1:19">
      <c r="A83" s="704">
        <f t="shared" si="16"/>
        <v>9.0799999999999983</v>
      </c>
      <c r="B83" s="542"/>
      <c r="C83" s="686">
        <f t="shared" si="14"/>
        <v>0</v>
      </c>
      <c r="D83" s="686">
        <f t="shared" si="12"/>
        <v>0</v>
      </c>
      <c r="E83" s="686"/>
      <c r="F83" s="686"/>
      <c r="G83" s="686">
        <f>ROUND(SUM(C83:F83)/2,0)</f>
        <v>0</v>
      </c>
      <c r="H83" s="686"/>
      <c r="I83" s="686">
        <f t="shared" si="15"/>
        <v>0</v>
      </c>
      <c r="J83" s="686">
        <f t="shared" si="15"/>
        <v>0</v>
      </c>
      <c r="K83" s="686">
        <f t="shared" si="15"/>
        <v>0</v>
      </c>
      <c r="L83" s="686"/>
      <c r="M83" s="542"/>
      <c r="N83" s="542"/>
      <c r="O83" s="542"/>
      <c r="P83" s="686"/>
      <c r="Q83" s="542"/>
      <c r="R83" s="542"/>
      <c r="S83" s="542"/>
    </row>
    <row r="84" spans="1:19">
      <c r="A84" s="704">
        <f t="shared" si="16"/>
        <v>9.0899999999999981</v>
      </c>
      <c r="B84" s="542"/>
      <c r="C84" s="686">
        <f t="shared" si="14"/>
        <v>0</v>
      </c>
      <c r="D84" s="686">
        <f t="shared" si="12"/>
        <v>0</v>
      </c>
      <c r="E84" s="686"/>
      <c r="F84" s="686"/>
      <c r="G84" s="686">
        <f t="shared" si="13"/>
        <v>0</v>
      </c>
      <c r="H84" s="686"/>
      <c r="I84" s="686">
        <f t="shared" si="15"/>
        <v>0</v>
      </c>
      <c r="J84" s="686">
        <f t="shared" si="15"/>
        <v>0</v>
      </c>
      <c r="K84" s="686">
        <f t="shared" si="15"/>
        <v>0</v>
      </c>
      <c r="L84" s="686"/>
      <c r="M84" s="542"/>
      <c r="N84" s="542"/>
      <c r="O84" s="542"/>
      <c r="P84" s="686"/>
      <c r="Q84" s="542"/>
      <c r="R84" s="542"/>
      <c r="S84" s="542"/>
    </row>
    <row r="85" spans="1:19">
      <c r="A85" s="704">
        <f t="shared" si="16"/>
        <v>9.0999999999999979</v>
      </c>
      <c r="B85" s="542"/>
      <c r="C85" s="686">
        <f t="shared" si="14"/>
        <v>0</v>
      </c>
      <c r="D85" s="686">
        <f t="shared" si="12"/>
        <v>0</v>
      </c>
      <c r="E85" s="686"/>
      <c r="F85" s="686"/>
      <c r="G85" s="686">
        <f>ROUND(SUM(C85:F85)/2,0)</f>
        <v>0</v>
      </c>
      <c r="H85" s="686"/>
      <c r="I85" s="686">
        <f t="shared" si="15"/>
        <v>0</v>
      </c>
      <c r="J85" s="686">
        <f t="shared" si="15"/>
        <v>0</v>
      </c>
      <c r="K85" s="686">
        <f t="shared" si="15"/>
        <v>0</v>
      </c>
      <c r="L85" s="686"/>
      <c r="M85" s="542"/>
      <c r="N85" s="542"/>
      <c r="O85" s="542"/>
      <c r="P85" s="686"/>
      <c r="Q85" s="542"/>
      <c r="R85" s="542"/>
      <c r="S85" s="542"/>
    </row>
    <row r="86" spans="1:19" hidden="1">
      <c r="A86" s="704">
        <f t="shared" si="16"/>
        <v>9.1099999999999977</v>
      </c>
      <c r="B86" s="542"/>
      <c r="C86" s="686">
        <f t="shared" si="14"/>
        <v>0</v>
      </c>
      <c r="D86" s="686">
        <f t="shared" si="12"/>
        <v>0</v>
      </c>
      <c r="E86" s="686"/>
      <c r="F86" s="686"/>
      <c r="G86" s="686">
        <f>ROUND(SUM(C86:F86)/2,0)</f>
        <v>0</v>
      </c>
      <c r="H86" s="686"/>
      <c r="I86" s="686">
        <f t="shared" si="15"/>
        <v>0</v>
      </c>
      <c r="J86" s="686">
        <f t="shared" si="15"/>
        <v>0</v>
      </c>
      <c r="K86" s="686">
        <f t="shared" si="15"/>
        <v>0</v>
      </c>
      <c r="L86" s="686"/>
      <c r="M86" s="542"/>
      <c r="N86" s="542"/>
      <c r="O86" s="542"/>
      <c r="P86" s="686"/>
      <c r="Q86" s="542"/>
      <c r="R86" s="542"/>
      <c r="S86" s="542"/>
    </row>
    <row r="87" spans="1:19" hidden="1">
      <c r="A87" s="704">
        <f t="shared" si="16"/>
        <v>9.1199999999999974</v>
      </c>
      <c r="B87" s="542"/>
      <c r="C87" s="686">
        <f t="shared" si="14"/>
        <v>0</v>
      </c>
      <c r="D87" s="686">
        <f t="shared" si="12"/>
        <v>0</v>
      </c>
      <c r="E87" s="686"/>
      <c r="F87" s="686"/>
      <c r="G87" s="686">
        <f t="shared" si="13"/>
        <v>0</v>
      </c>
      <c r="H87" s="686"/>
      <c r="I87" s="686">
        <f t="shared" si="15"/>
        <v>0</v>
      </c>
      <c r="J87" s="686">
        <f t="shared" si="15"/>
        <v>0</v>
      </c>
      <c r="K87" s="686">
        <f t="shared" si="15"/>
        <v>0</v>
      </c>
      <c r="L87" s="686"/>
      <c r="M87" s="542"/>
      <c r="N87" s="542"/>
      <c r="O87" s="542"/>
      <c r="P87" s="686"/>
      <c r="Q87" s="542"/>
      <c r="R87" s="542"/>
      <c r="S87" s="542"/>
    </row>
    <row r="88" spans="1:19" hidden="1">
      <c r="A88" s="704">
        <f t="shared" si="16"/>
        <v>9.1299999999999972</v>
      </c>
      <c r="B88" s="542"/>
      <c r="C88" s="686">
        <f t="shared" si="14"/>
        <v>0</v>
      </c>
      <c r="D88" s="686">
        <f t="shared" si="12"/>
        <v>0</v>
      </c>
      <c r="E88" s="686"/>
      <c r="F88" s="686"/>
      <c r="G88" s="686">
        <f t="shared" si="13"/>
        <v>0</v>
      </c>
      <c r="H88" s="686"/>
      <c r="I88" s="686">
        <f t="shared" si="15"/>
        <v>0</v>
      </c>
      <c r="J88" s="686">
        <f t="shared" si="15"/>
        <v>0</v>
      </c>
      <c r="K88" s="686">
        <f t="shared" si="15"/>
        <v>0</v>
      </c>
      <c r="L88" s="686"/>
      <c r="M88" s="542"/>
      <c r="N88" s="542"/>
      <c r="O88" s="542"/>
      <c r="P88" s="686"/>
      <c r="Q88" s="542"/>
      <c r="R88" s="542"/>
      <c r="S88" s="542"/>
    </row>
    <row r="89" spans="1:19" hidden="1">
      <c r="A89" s="704">
        <f t="shared" si="16"/>
        <v>9.139999999999997</v>
      </c>
      <c r="B89" s="542"/>
      <c r="C89" s="686">
        <f t="shared" si="14"/>
        <v>0</v>
      </c>
      <c r="D89" s="686">
        <f t="shared" si="12"/>
        <v>0</v>
      </c>
      <c r="E89" s="686"/>
      <c r="F89" s="686"/>
      <c r="G89" s="686">
        <f t="shared" si="13"/>
        <v>0</v>
      </c>
      <c r="H89" s="686"/>
      <c r="I89" s="686">
        <f t="shared" si="15"/>
        <v>0</v>
      </c>
      <c r="J89" s="686">
        <f t="shared" si="15"/>
        <v>0</v>
      </c>
      <c r="K89" s="686">
        <f t="shared" si="15"/>
        <v>0</v>
      </c>
      <c r="L89" s="686"/>
      <c r="M89" s="542"/>
      <c r="N89" s="542"/>
      <c r="O89" s="542"/>
      <c r="P89" s="686"/>
      <c r="Q89" s="542"/>
      <c r="R89" s="542"/>
      <c r="S89" s="542"/>
    </row>
    <row r="90" spans="1:19" hidden="1">
      <c r="A90" s="704">
        <f t="shared" si="16"/>
        <v>9.1499999999999968</v>
      </c>
      <c r="B90" s="542"/>
      <c r="C90" s="686">
        <f t="shared" si="14"/>
        <v>0</v>
      </c>
      <c r="D90" s="686">
        <f t="shared" si="12"/>
        <v>0</v>
      </c>
      <c r="E90" s="686"/>
      <c r="F90" s="686"/>
      <c r="G90" s="686">
        <f t="shared" si="13"/>
        <v>0</v>
      </c>
      <c r="H90" s="686"/>
      <c r="I90" s="686">
        <f t="shared" si="15"/>
        <v>0</v>
      </c>
      <c r="J90" s="686">
        <f t="shared" si="15"/>
        <v>0</v>
      </c>
      <c r="K90" s="686">
        <f t="shared" si="15"/>
        <v>0</v>
      </c>
      <c r="L90" s="686"/>
      <c r="M90" s="542"/>
      <c r="N90" s="542"/>
      <c r="O90" s="542"/>
      <c r="P90" s="686"/>
      <c r="Q90" s="542"/>
      <c r="R90" s="542"/>
      <c r="S90" s="542"/>
    </row>
    <row r="91" spans="1:19" hidden="1">
      <c r="A91" s="704">
        <f t="shared" si="16"/>
        <v>9.1599999999999966</v>
      </c>
      <c r="B91" s="542"/>
      <c r="C91" s="686">
        <f t="shared" si="14"/>
        <v>0</v>
      </c>
      <c r="D91" s="686">
        <f t="shared" si="12"/>
        <v>0</v>
      </c>
      <c r="E91" s="686"/>
      <c r="F91" s="686"/>
      <c r="G91" s="686">
        <f t="shared" si="13"/>
        <v>0</v>
      </c>
      <c r="H91" s="686"/>
      <c r="I91" s="686">
        <f t="shared" si="15"/>
        <v>0</v>
      </c>
      <c r="J91" s="686">
        <f t="shared" si="15"/>
        <v>0</v>
      </c>
      <c r="K91" s="686">
        <f t="shared" si="15"/>
        <v>0</v>
      </c>
      <c r="L91" s="686"/>
      <c r="M91" s="542"/>
      <c r="N91" s="542"/>
      <c r="O91" s="542"/>
      <c r="P91" s="686"/>
      <c r="Q91" s="542"/>
      <c r="R91" s="542"/>
      <c r="S91" s="542"/>
    </row>
    <row r="92" spans="1:19" hidden="1">
      <c r="A92" s="704">
        <f t="shared" si="16"/>
        <v>9.1699999999999964</v>
      </c>
      <c r="B92" s="542"/>
      <c r="C92" s="686">
        <f t="shared" si="14"/>
        <v>0</v>
      </c>
      <c r="D92" s="686">
        <f t="shared" si="12"/>
        <v>0</v>
      </c>
      <c r="E92" s="686"/>
      <c r="F92" s="686"/>
      <c r="G92" s="686">
        <f t="shared" si="13"/>
        <v>0</v>
      </c>
      <c r="H92" s="686"/>
      <c r="I92" s="686">
        <f t="shared" si="15"/>
        <v>0</v>
      </c>
      <c r="J92" s="686">
        <f t="shared" si="15"/>
        <v>0</v>
      </c>
      <c r="K92" s="686">
        <f t="shared" si="15"/>
        <v>0</v>
      </c>
      <c r="L92" s="686"/>
      <c r="M92" s="542"/>
      <c r="N92" s="542"/>
      <c r="O92" s="542"/>
      <c r="P92" s="686"/>
      <c r="Q92" s="542"/>
      <c r="R92" s="542"/>
      <c r="S92" s="542"/>
    </row>
    <row r="93" spans="1:19" hidden="1">
      <c r="A93" s="704">
        <f t="shared" si="16"/>
        <v>9.1799999999999962</v>
      </c>
      <c r="B93" s="542"/>
      <c r="C93" s="686">
        <f t="shared" si="14"/>
        <v>0</v>
      </c>
      <c r="D93" s="686">
        <f t="shared" si="12"/>
        <v>0</v>
      </c>
      <c r="E93" s="686"/>
      <c r="F93" s="686"/>
      <c r="G93" s="686">
        <f t="shared" si="13"/>
        <v>0</v>
      </c>
      <c r="H93" s="686"/>
      <c r="I93" s="686">
        <f t="shared" si="15"/>
        <v>0</v>
      </c>
      <c r="J93" s="686">
        <f t="shared" si="15"/>
        <v>0</v>
      </c>
      <c r="K93" s="686">
        <f t="shared" si="15"/>
        <v>0</v>
      </c>
      <c r="L93" s="686"/>
      <c r="M93" s="542"/>
      <c r="N93" s="542"/>
      <c r="O93" s="542"/>
      <c r="P93" s="686"/>
      <c r="Q93" s="542"/>
      <c r="R93" s="542"/>
      <c r="S93" s="542"/>
    </row>
    <row r="94" spans="1:19" hidden="1">
      <c r="A94" s="704">
        <f t="shared" si="16"/>
        <v>9.1899999999999959</v>
      </c>
      <c r="B94" s="542"/>
      <c r="C94" s="686">
        <f t="shared" si="14"/>
        <v>0</v>
      </c>
      <c r="D94" s="686">
        <f t="shared" si="12"/>
        <v>0</v>
      </c>
      <c r="E94" s="686"/>
      <c r="F94" s="686"/>
      <c r="G94" s="686">
        <f t="shared" si="13"/>
        <v>0</v>
      </c>
      <c r="H94" s="686"/>
      <c r="I94" s="686">
        <f t="shared" si="15"/>
        <v>0</v>
      </c>
      <c r="J94" s="686">
        <f t="shared" si="15"/>
        <v>0</v>
      </c>
      <c r="K94" s="686">
        <f t="shared" si="15"/>
        <v>0</v>
      </c>
      <c r="L94" s="686"/>
      <c r="M94" s="542"/>
      <c r="N94" s="542"/>
      <c r="O94" s="542"/>
      <c r="P94" s="686"/>
      <c r="Q94" s="542"/>
      <c r="R94" s="542"/>
      <c r="S94" s="542"/>
    </row>
    <row r="95" spans="1:19" hidden="1">
      <c r="A95" s="704">
        <f t="shared" si="16"/>
        <v>9.1999999999999957</v>
      </c>
      <c r="B95" s="542"/>
      <c r="C95" s="686">
        <f t="shared" si="14"/>
        <v>0</v>
      </c>
      <c r="D95" s="686">
        <f t="shared" si="12"/>
        <v>0</v>
      </c>
      <c r="E95" s="686"/>
      <c r="F95" s="686"/>
      <c r="G95" s="686">
        <f t="shared" si="13"/>
        <v>0</v>
      </c>
      <c r="H95" s="686"/>
      <c r="I95" s="686">
        <f t="shared" si="15"/>
        <v>0</v>
      </c>
      <c r="J95" s="686">
        <f t="shared" si="15"/>
        <v>0</v>
      </c>
      <c r="K95" s="686">
        <f t="shared" si="15"/>
        <v>0</v>
      </c>
      <c r="L95" s="686"/>
      <c r="M95" s="542"/>
      <c r="N95" s="542"/>
      <c r="O95" s="542"/>
      <c r="P95" s="686"/>
      <c r="Q95" s="542"/>
      <c r="R95" s="542"/>
      <c r="S95" s="542"/>
    </row>
    <row r="96" spans="1:19" hidden="1">
      <c r="A96" s="704">
        <f t="shared" si="16"/>
        <v>9.2099999999999955</v>
      </c>
      <c r="B96" s="542"/>
      <c r="C96" s="686">
        <f t="shared" si="14"/>
        <v>0</v>
      </c>
      <c r="D96" s="686">
        <f t="shared" si="12"/>
        <v>0</v>
      </c>
      <c r="E96" s="686"/>
      <c r="F96" s="686"/>
      <c r="G96" s="686">
        <f t="shared" si="13"/>
        <v>0</v>
      </c>
      <c r="H96" s="686"/>
      <c r="I96" s="686">
        <f t="shared" si="15"/>
        <v>0</v>
      </c>
      <c r="J96" s="686">
        <f t="shared" si="15"/>
        <v>0</v>
      </c>
      <c r="K96" s="686">
        <f t="shared" si="15"/>
        <v>0</v>
      </c>
      <c r="L96" s="686"/>
      <c r="M96" s="542"/>
      <c r="N96" s="542"/>
      <c r="O96" s="542"/>
      <c r="P96" s="686"/>
      <c r="Q96" s="542"/>
      <c r="R96" s="542"/>
      <c r="S96" s="542"/>
    </row>
    <row r="97" spans="1:19" hidden="1">
      <c r="A97" s="704">
        <f t="shared" si="16"/>
        <v>9.2199999999999953</v>
      </c>
      <c r="B97" s="542"/>
      <c r="C97" s="686">
        <f t="shared" si="14"/>
        <v>0</v>
      </c>
      <c r="D97" s="686">
        <f t="shared" si="12"/>
        <v>0</v>
      </c>
      <c r="E97" s="686"/>
      <c r="F97" s="686"/>
      <c r="G97" s="686">
        <f t="shared" si="13"/>
        <v>0</v>
      </c>
      <c r="H97" s="686"/>
      <c r="I97" s="686">
        <f t="shared" si="15"/>
        <v>0</v>
      </c>
      <c r="J97" s="686">
        <f t="shared" si="15"/>
        <v>0</v>
      </c>
      <c r="K97" s="686">
        <f t="shared" si="15"/>
        <v>0</v>
      </c>
      <c r="L97" s="686"/>
      <c r="M97" s="542"/>
      <c r="N97" s="542"/>
      <c r="O97" s="542"/>
      <c r="P97" s="686"/>
      <c r="Q97" s="542"/>
      <c r="R97" s="542"/>
      <c r="S97" s="542"/>
    </row>
    <row r="98" spans="1:19" hidden="1">
      <c r="A98" s="704">
        <f t="shared" si="16"/>
        <v>9.2299999999999951</v>
      </c>
      <c r="B98" s="542"/>
      <c r="C98" s="686">
        <f t="shared" si="14"/>
        <v>0</v>
      </c>
      <c r="D98" s="686">
        <f t="shared" si="12"/>
        <v>0</v>
      </c>
      <c r="E98" s="686"/>
      <c r="F98" s="686"/>
      <c r="G98" s="686">
        <f t="shared" si="13"/>
        <v>0</v>
      </c>
      <c r="H98" s="686"/>
      <c r="I98" s="686">
        <f t="shared" si="15"/>
        <v>0</v>
      </c>
      <c r="J98" s="686">
        <f t="shared" si="15"/>
        <v>0</v>
      </c>
      <c r="K98" s="686">
        <f t="shared" si="15"/>
        <v>0</v>
      </c>
      <c r="L98" s="686"/>
      <c r="M98" s="542"/>
      <c r="N98" s="542"/>
      <c r="O98" s="542"/>
      <c r="P98" s="686"/>
      <c r="Q98" s="542"/>
      <c r="R98" s="542"/>
      <c r="S98" s="542"/>
    </row>
    <row r="99" spans="1:19" hidden="1">
      <c r="A99" s="704">
        <f t="shared" si="16"/>
        <v>9.2399999999999949</v>
      </c>
      <c r="B99" s="542"/>
      <c r="C99" s="686">
        <f t="shared" si="14"/>
        <v>0</v>
      </c>
      <c r="D99" s="686">
        <f t="shared" si="12"/>
        <v>0</v>
      </c>
      <c r="E99" s="686"/>
      <c r="F99" s="686"/>
      <c r="G99" s="686">
        <f t="shared" si="13"/>
        <v>0</v>
      </c>
      <c r="H99" s="686"/>
      <c r="I99" s="686">
        <f t="shared" si="15"/>
        <v>0</v>
      </c>
      <c r="J99" s="686">
        <f t="shared" si="15"/>
        <v>0</v>
      </c>
      <c r="K99" s="686">
        <f t="shared" si="15"/>
        <v>0</v>
      </c>
      <c r="L99" s="686"/>
      <c r="M99" s="542"/>
      <c r="N99" s="542"/>
      <c r="O99" s="542"/>
      <c r="P99" s="686"/>
      <c r="Q99" s="542"/>
      <c r="R99" s="542"/>
      <c r="S99" s="542"/>
    </row>
    <row r="100" spans="1:19" hidden="1">
      <c r="A100" s="704">
        <f t="shared" si="16"/>
        <v>9.2499999999999947</v>
      </c>
      <c r="B100" s="542"/>
      <c r="C100" s="686">
        <f t="shared" si="14"/>
        <v>0</v>
      </c>
      <c r="D100" s="686">
        <f t="shared" si="12"/>
        <v>0</v>
      </c>
      <c r="E100" s="686"/>
      <c r="F100" s="686"/>
      <c r="G100" s="686">
        <f>ROUND(SUM(C100:F100)/2,0)</f>
        <v>0</v>
      </c>
      <c r="H100" s="686"/>
      <c r="I100" s="686">
        <f t="shared" si="15"/>
        <v>0</v>
      </c>
      <c r="J100" s="686">
        <f t="shared" si="15"/>
        <v>0</v>
      </c>
      <c r="K100" s="686">
        <f t="shared" si="15"/>
        <v>0</v>
      </c>
      <c r="L100" s="686"/>
      <c r="M100" s="542"/>
      <c r="N100" s="542"/>
      <c r="O100" s="542"/>
      <c r="P100" s="686"/>
      <c r="Q100" s="542"/>
      <c r="R100" s="542"/>
      <c r="S100" s="542"/>
    </row>
    <row r="101" spans="1:19" hidden="1">
      <c r="A101" s="704">
        <f t="shared" si="16"/>
        <v>9.2599999999999945</v>
      </c>
      <c r="B101" s="542"/>
      <c r="C101" s="686">
        <f t="shared" si="14"/>
        <v>0</v>
      </c>
      <c r="D101" s="686">
        <f t="shared" si="12"/>
        <v>0</v>
      </c>
      <c r="E101" s="686"/>
      <c r="F101" s="686"/>
      <c r="G101" s="686">
        <f t="shared" si="13"/>
        <v>0</v>
      </c>
      <c r="H101" s="686"/>
      <c r="I101" s="686">
        <f t="shared" si="15"/>
        <v>0</v>
      </c>
      <c r="J101" s="686">
        <f t="shared" si="15"/>
        <v>0</v>
      </c>
      <c r="K101" s="686">
        <f t="shared" si="15"/>
        <v>0</v>
      </c>
      <c r="L101" s="686"/>
      <c r="M101" s="542"/>
      <c r="N101" s="542"/>
      <c r="O101" s="542"/>
      <c r="P101" s="686"/>
      <c r="Q101" s="542"/>
      <c r="R101" s="542"/>
      <c r="S101" s="542"/>
    </row>
    <row r="102" spans="1:19" hidden="1">
      <c r="A102" s="704">
        <f t="shared" si="16"/>
        <v>9.2699999999999942</v>
      </c>
      <c r="B102" s="542"/>
      <c r="C102" s="686">
        <f t="shared" si="14"/>
        <v>0</v>
      </c>
      <c r="D102" s="686">
        <f t="shared" si="12"/>
        <v>0</v>
      </c>
      <c r="E102" s="686"/>
      <c r="F102" s="686"/>
      <c r="G102" s="686">
        <f t="shared" si="13"/>
        <v>0</v>
      </c>
      <c r="H102" s="686"/>
      <c r="I102" s="686">
        <f t="shared" si="15"/>
        <v>0</v>
      </c>
      <c r="J102" s="686">
        <f t="shared" si="15"/>
        <v>0</v>
      </c>
      <c r="K102" s="686">
        <f t="shared" si="15"/>
        <v>0</v>
      </c>
      <c r="L102" s="686"/>
      <c r="M102" s="542"/>
      <c r="N102" s="542"/>
      <c r="O102" s="542"/>
      <c r="P102" s="686"/>
      <c r="Q102" s="542"/>
      <c r="R102" s="542"/>
      <c r="S102" s="542"/>
    </row>
    <row r="103" spans="1:19" hidden="1">
      <c r="A103" s="704">
        <f t="shared" si="16"/>
        <v>9.279999999999994</v>
      </c>
      <c r="B103" s="542"/>
      <c r="C103" s="686">
        <f t="shared" si="14"/>
        <v>0</v>
      </c>
      <c r="D103" s="686">
        <f t="shared" si="12"/>
        <v>0</v>
      </c>
      <c r="E103" s="686"/>
      <c r="F103" s="686"/>
      <c r="G103" s="686">
        <f>ROUND(SUM(C103:F103)/2,0)</f>
        <v>0</v>
      </c>
      <c r="H103" s="686"/>
      <c r="I103" s="686">
        <f t="shared" si="15"/>
        <v>0</v>
      </c>
      <c r="J103" s="686">
        <f t="shared" si="15"/>
        <v>0</v>
      </c>
      <c r="K103" s="686">
        <f t="shared" si="15"/>
        <v>0</v>
      </c>
      <c r="L103" s="686"/>
      <c r="M103" s="542"/>
      <c r="N103" s="542"/>
      <c r="O103" s="542"/>
      <c r="P103" s="686"/>
      <c r="Q103" s="542"/>
      <c r="R103" s="542"/>
      <c r="S103" s="542"/>
    </row>
    <row r="104" spans="1:19" hidden="1">
      <c r="A104" s="704">
        <f t="shared" si="16"/>
        <v>9.2899999999999938</v>
      </c>
      <c r="B104" s="542"/>
      <c r="C104" s="686">
        <f t="shared" si="14"/>
        <v>0</v>
      </c>
      <c r="D104" s="686">
        <f t="shared" si="12"/>
        <v>0</v>
      </c>
      <c r="E104" s="686"/>
      <c r="F104" s="686"/>
      <c r="G104" s="686">
        <f t="shared" si="13"/>
        <v>0</v>
      </c>
      <c r="H104" s="686"/>
      <c r="I104" s="686">
        <f t="shared" si="15"/>
        <v>0</v>
      </c>
      <c r="J104" s="686">
        <f t="shared" si="15"/>
        <v>0</v>
      </c>
      <c r="K104" s="686">
        <f t="shared" si="15"/>
        <v>0</v>
      </c>
      <c r="L104" s="686"/>
      <c r="M104" s="542"/>
      <c r="N104" s="542"/>
      <c r="O104" s="542"/>
      <c r="P104" s="686"/>
      <c r="Q104" s="542"/>
      <c r="R104" s="542"/>
      <c r="S104" s="542"/>
    </row>
    <row r="105" spans="1:19" hidden="1">
      <c r="A105" s="704">
        <f t="shared" si="16"/>
        <v>9.2999999999999936</v>
      </c>
      <c r="B105" s="542"/>
      <c r="C105" s="686">
        <f t="shared" si="14"/>
        <v>0</v>
      </c>
      <c r="D105" s="686">
        <f t="shared" si="12"/>
        <v>0</v>
      </c>
      <c r="E105" s="686"/>
      <c r="F105" s="686"/>
      <c r="G105" s="686">
        <f t="shared" si="13"/>
        <v>0</v>
      </c>
      <c r="H105" s="686"/>
      <c r="I105" s="686">
        <f t="shared" si="15"/>
        <v>0</v>
      </c>
      <c r="J105" s="686">
        <f t="shared" si="15"/>
        <v>0</v>
      </c>
      <c r="K105" s="686">
        <f t="shared" si="15"/>
        <v>0</v>
      </c>
      <c r="L105" s="686"/>
      <c r="M105" s="542"/>
      <c r="N105" s="542"/>
      <c r="O105" s="542"/>
      <c r="P105" s="686"/>
      <c r="Q105" s="542"/>
      <c r="R105" s="542"/>
      <c r="S105" s="542"/>
    </row>
    <row r="106" spans="1:19" hidden="1">
      <c r="A106" s="704">
        <f t="shared" si="16"/>
        <v>9.3099999999999934</v>
      </c>
      <c r="B106" s="542"/>
      <c r="C106" s="691">
        <f t="shared" si="14"/>
        <v>0</v>
      </c>
      <c r="D106" s="691">
        <f t="shared" si="12"/>
        <v>0</v>
      </c>
      <c r="E106" s="691"/>
      <c r="F106" s="691"/>
      <c r="G106" s="691">
        <f t="shared" si="13"/>
        <v>0</v>
      </c>
      <c r="H106" s="691"/>
      <c r="I106" s="691">
        <f t="shared" si="15"/>
        <v>0</v>
      </c>
      <c r="J106" s="691">
        <f t="shared" si="15"/>
        <v>0</v>
      </c>
      <c r="K106" s="691">
        <f t="shared" si="15"/>
        <v>0</v>
      </c>
      <c r="L106" s="691"/>
      <c r="M106" s="542"/>
      <c r="N106" s="542"/>
      <c r="O106" s="542"/>
      <c r="P106" s="691"/>
      <c r="Q106" s="542"/>
      <c r="R106" s="542"/>
      <c r="S106" s="542"/>
    </row>
    <row r="107" spans="1:19" hidden="1">
      <c r="A107" s="704">
        <f t="shared" si="16"/>
        <v>9.3199999999999932</v>
      </c>
      <c r="B107" s="542"/>
      <c r="C107" s="686">
        <f t="shared" si="14"/>
        <v>0</v>
      </c>
      <c r="D107" s="686">
        <f t="shared" si="12"/>
        <v>0</v>
      </c>
      <c r="E107" s="686"/>
      <c r="F107" s="686"/>
      <c r="G107" s="686">
        <f t="shared" si="13"/>
        <v>0</v>
      </c>
      <c r="H107" s="686"/>
      <c r="I107" s="686">
        <f t="shared" si="15"/>
        <v>0</v>
      </c>
      <c r="J107" s="686">
        <f t="shared" si="15"/>
        <v>0</v>
      </c>
      <c r="K107" s="686">
        <f t="shared" si="15"/>
        <v>0</v>
      </c>
      <c r="L107" s="686"/>
      <c r="M107" s="542"/>
      <c r="N107" s="542"/>
      <c r="O107" s="542"/>
      <c r="P107" s="686"/>
      <c r="Q107" s="542"/>
      <c r="R107" s="542"/>
      <c r="S107" s="542"/>
    </row>
    <row r="108" spans="1:19" hidden="1">
      <c r="A108" s="704">
        <f t="shared" si="16"/>
        <v>9.329999999999993</v>
      </c>
      <c r="B108" s="542"/>
      <c r="C108" s="686">
        <f t="shared" si="14"/>
        <v>0</v>
      </c>
      <c r="D108" s="686">
        <f t="shared" si="12"/>
        <v>0</v>
      </c>
      <c r="E108" s="686"/>
      <c r="F108" s="686"/>
      <c r="G108" s="686">
        <f t="shared" si="13"/>
        <v>0</v>
      </c>
      <c r="H108" s="686"/>
      <c r="I108" s="686">
        <f t="shared" si="15"/>
        <v>0</v>
      </c>
      <c r="J108" s="686">
        <f t="shared" si="15"/>
        <v>0</v>
      </c>
      <c r="K108" s="686">
        <f t="shared" si="15"/>
        <v>0</v>
      </c>
      <c r="L108" s="686"/>
      <c r="M108" s="542"/>
      <c r="N108" s="542"/>
      <c r="O108" s="542"/>
      <c r="P108" s="686"/>
      <c r="Q108" s="542"/>
      <c r="R108" s="542"/>
      <c r="S108" s="542"/>
    </row>
    <row r="109" spans="1:19" hidden="1">
      <c r="A109" s="704">
        <f t="shared" si="16"/>
        <v>9.3399999999999928</v>
      </c>
      <c r="B109" s="542"/>
      <c r="C109" s="686">
        <f t="shared" si="14"/>
        <v>0</v>
      </c>
      <c r="D109" s="686">
        <f t="shared" si="12"/>
        <v>0</v>
      </c>
      <c r="E109" s="686"/>
      <c r="F109" s="686"/>
      <c r="G109" s="686">
        <f t="shared" si="13"/>
        <v>0</v>
      </c>
      <c r="H109" s="686"/>
      <c r="I109" s="686">
        <f t="shared" si="15"/>
        <v>0</v>
      </c>
      <c r="J109" s="686">
        <f t="shared" si="15"/>
        <v>0</v>
      </c>
      <c r="K109" s="686">
        <f t="shared" si="15"/>
        <v>0</v>
      </c>
      <c r="L109" s="686"/>
      <c r="M109" s="542"/>
      <c r="N109" s="542"/>
      <c r="O109" s="542"/>
      <c r="P109" s="686"/>
      <c r="Q109" s="542"/>
      <c r="R109" s="542"/>
      <c r="S109" s="542"/>
    </row>
    <row r="110" spans="1:19" hidden="1">
      <c r="A110" s="704">
        <f t="shared" si="16"/>
        <v>9.3499999999999925</v>
      </c>
      <c r="B110" s="542"/>
      <c r="C110" s="686">
        <f t="shared" si="14"/>
        <v>0</v>
      </c>
      <c r="D110" s="686">
        <f t="shared" si="12"/>
        <v>0</v>
      </c>
      <c r="E110" s="686"/>
      <c r="F110" s="686"/>
      <c r="G110" s="686">
        <f t="shared" si="13"/>
        <v>0</v>
      </c>
      <c r="H110" s="686"/>
      <c r="I110" s="686">
        <f t="shared" si="15"/>
        <v>0</v>
      </c>
      <c r="J110" s="686">
        <f t="shared" si="15"/>
        <v>0</v>
      </c>
      <c r="K110" s="686">
        <f t="shared" si="15"/>
        <v>0</v>
      </c>
      <c r="L110" s="686"/>
      <c r="M110" s="542"/>
      <c r="N110" s="542"/>
      <c r="O110" s="542"/>
      <c r="P110" s="686"/>
      <c r="Q110" s="542"/>
      <c r="R110" s="542"/>
      <c r="S110" s="542"/>
    </row>
    <row r="111" spans="1:19" hidden="1">
      <c r="A111" s="704">
        <f t="shared" si="16"/>
        <v>9.3599999999999923</v>
      </c>
      <c r="B111" s="542"/>
      <c r="C111" s="686">
        <f t="shared" si="14"/>
        <v>0</v>
      </c>
      <c r="D111" s="686">
        <f t="shared" si="12"/>
        <v>0</v>
      </c>
      <c r="E111" s="686"/>
      <c r="F111" s="686"/>
      <c r="G111" s="686">
        <f t="shared" si="13"/>
        <v>0</v>
      </c>
      <c r="H111" s="686"/>
      <c r="I111" s="686">
        <f t="shared" si="15"/>
        <v>0</v>
      </c>
      <c r="J111" s="686">
        <f t="shared" si="15"/>
        <v>0</v>
      </c>
      <c r="K111" s="686">
        <f t="shared" si="15"/>
        <v>0</v>
      </c>
      <c r="L111" s="686"/>
      <c r="M111" s="542"/>
      <c r="N111" s="542"/>
      <c r="O111" s="542"/>
      <c r="P111" s="686"/>
      <c r="Q111" s="542"/>
      <c r="R111" s="542"/>
      <c r="S111" s="542"/>
    </row>
    <row r="112" spans="1:19" hidden="1">
      <c r="A112" s="704">
        <f t="shared" si="16"/>
        <v>9.3699999999999921</v>
      </c>
      <c r="B112" s="542"/>
      <c r="C112" s="686">
        <f t="shared" si="14"/>
        <v>0</v>
      </c>
      <c r="D112" s="686">
        <f t="shared" si="12"/>
        <v>0</v>
      </c>
      <c r="E112" s="686"/>
      <c r="F112" s="686"/>
      <c r="G112" s="686">
        <f t="shared" si="13"/>
        <v>0</v>
      </c>
      <c r="H112" s="686"/>
      <c r="I112" s="686">
        <f t="shared" si="15"/>
        <v>0</v>
      </c>
      <c r="J112" s="686">
        <f t="shared" si="15"/>
        <v>0</v>
      </c>
      <c r="K112" s="686">
        <f t="shared" si="15"/>
        <v>0</v>
      </c>
      <c r="L112" s="686"/>
      <c r="M112" s="542"/>
      <c r="N112" s="542"/>
      <c r="O112" s="542"/>
      <c r="P112" s="686"/>
      <c r="Q112" s="542"/>
      <c r="R112" s="542"/>
      <c r="S112" s="542"/>
    </row>
    <row r="113" spans="1:19" hidden="1">
      <c r="A113" s="704">
        <f t="shared" si="16"/>
        <v>9.3799999999999919</v>
      </c>
      <c r="B113" s="542"/>
      <c r="C113" s="686">
        <f t="shared" si="14"/>
        <v>0</v>
      </c>
      <c r="D113" s="686">
        <f t="shared" si="12"/>
        <v>0</v>
      </c>
      <c r="E113" s="686"/>
      <c r="F113" s="686"/>
      <c r="G113" s="686">
        <f t="shared" si="13"/>
        <v>0</v>
      </c>
      <c r="H113" s="686"/>
      <c r="I113" s="686">
        <f t="shared" si="15"/>
        <v>0</v>
      </c>
      <c r="J113" s="686">
        <f t="shared" si="15"/>
        <v>0</v>
      </c>
      <c r="K113" s="686">
        <f t="shared" si="15"/>
        <v>0</v>
      </c>
      <c r="L113" s="686"/>
      <c r="M113" s="542"/>
      <c r="N113" s="542"/>
      <c r="O113" s="542"/>
      <c r="P113" s="686"/>
      <c r="Q113" s="542"/>
      <c r="R113" s="542"/>
      <c r="S113" s="542"/>
    </row>
    <row r="114" spans="1:19" hidden="1">
      <c r="A114" s="704">
        <f t="shared" si="16"/>
        <v>9.3899999999999917</v>
      </c>
      <c r="B114" s="542"/>
      <c r="C114" s="686">
        <f t="shared" si="14"/>
        <v>0</v>
      </c>
      <c r="D114" s="686">
        <f t="shared" si="12"/>
        <v>0</v>
      </c>
      <c r="E114" s="686"/>
      <c r="F114" s="686"/>
      <c r="G114" s="686">
        <f t="shared" si="13"/>
        <v>0</v>
      </c>
      <c r="H114" s="686"/>
      <c r="I114" s="686">
        <f t="shared" si="15"/>
        <v>0</v>
      </c>
      <c r="J114" s="686">
        <f t="shared" si="15"/>
        <v>0</v>
      </c>
      <c r="K114" s="686">
        <f t="shared" si="15"/>
        <v>0</v>
      </c>
      <c r="L114" s="686"/>
      <c r="M114" s="542"/>
      <c r="N114" s="542"/>
      <c r="O114" s="542"/>
      <c r="P114" s="686"/>
      <c r="Q114" s="542"/>
      <c r="R114" s="542"/>
      <c r="S114" s="542"/>
    </row>
    <row r="115" spans="1:19" hidden="1">
      <c r="A115" s="704">
        <f t="shared" si="16"/>
        <v>9.3999999999999915</v>
      </c>
      <c r="B115" s="542"/>
      <c r="C115" s="686">
        <f t="shared" si="14"/>
        <v>0</v>
      </c>
      <c r="D115" s="686">
        <f t="shared" si="12"/>
        <v>0</v>
      </c>
      <c r="E115" s="686"/>
      <c r="F115" s="686"/>
      <c r="G115" s="686">
        <f t="shared" si="13"/>
        <v>0</v>
      </c>
      <c r="H115" s="686"/>
      <c r="I115" s="686">
        <f t="shared" si="15"/>
        <v>0</v>
      </c>
      <c r="J115" s="686">
        <f t="shared" si="15"/>
        <v>0</v>
      </c>
      <c r="K115" s="686">
        <f t="shared" si="15"/>
        <v>0</v>
      </c>
      <c r="L115" s="686"/>
      <c r="M115" s="542"/>
      <c r="N115" s="542"/>
      <c r="O115" s="542"/>
      <c r="P115" s="686"/>
      <c r="Q115" s="542"/>
      <c r="R115" s="542"/>
      <c r="S115" s="542"/>
    </row>
    <row r="116" spans="1:19" hidden="1">
      <c r="A116" s="704">
        <f t="shared" si="16"/>
        <v>9.4099999999999913</v>
      </c>
      <c r="B116" s="542"/>
      <c r="C116" s="686">
        <f t="shared" si="14"/>
        <v>0</v>
      </c>
      <c r="D116" s="686">
        <f t="shared" si="12"/>
        <v>0</v>
      </c>
      <c r="E116" s="686"/>
      <c r="F116" s="686"/>
      <c r="G116" s="686">
        <f t="shared" si="13"/>
        <v>0</v>
      </c>
      <c r="H116" s="686"/>
      <c r="I116" s="686">
        <f t="shared" si="15"/>
        <v>0</v>
      </c>
      <c r="J116" s="686">
        <f t="shared" si="15"/>
        <v>0</v>
      </c>
      <c r="K116" s="686">
        <f t="shared" si="15"/>
        <v>0</v>
      </c>
      <c r="L116" s="686"/>
      <c r="M116" s="542"/>
      <c r="N116" s="542"/>
      <c r="O116" s="542"/>
      <c r="P116" s="686"/>
      <c r="Q116" s="542"/>
      <c r="R116" s="542"/>
      <c r="S116" s="542"/>
    </row>
    <row r="117" spans="1:19" hidden="1">
      <c r="A117" s="704">
        <f t="shared" si="16"/>
        <v>9.419999999999991</v>
      </c>
      <c r="B117" s="542"/>
      <c r="C117" s="686">
        <f t="shared" si="14"/>
        <v>0</v>
      </c>
      <c r="D117" s="686">
        <f t="shared" si="12"/>
        <v>0</v>
      </c>
      <c r="E117" s="686"/>
      <c r="F117" s="686"/>
      <c r="G117" s="686">
        <f t="shared" si="13"/>
        <v>0</v>
      </c>
      <c r="H117" s="686"/>
      <c r="I117" s="686">
        <f t="shared" si="15"/>
        <v>0</v>
      </c>
      <c r="J117" s="686">
        <f t="shared" si="15"/>
        <v>0</v>
      </c>
      <c r="K117" s="686">
        <f t="shared" si="15"/>
        <v>0</v>
      </c>
      <c r="L117" s="686"/>
      <c r="M117" s="542"/>
      <c r="N117" s="542"/>
      <c r="O117" s="542"/>
      <c r="P117" s="686"/>
      <c r="Q117" s="542"/>
      <c r="R117" s="542"/>
      <c r="S117" s="542"/>
    </row>
    <row r="118" spans="1:19" hidden="1">
      <c r="A118" s="704">
        <f t="shared" si="16"/>
        <v>9.4299999999999908</v>
      </c>
      <c r="B118" s="542"/>
      <c r="C118" s="686">
        <f t="shared" si="14"/>
        <v>0</v>
      </c>
      <c r="D118" s="686">
        <f t="shared" si="12"/>
        <v>0</v>
      </c>
      <c r="E118" s="686"/>
      <c r="F118" s="686"/>
      <c r="G118" s="686">
        <f t="shared" si="13"/>
        <v>0</v>
      </c>
      <c r="H118" s="686"/>
      <c r="I118" s="686">
        <f t="shared" si="15"/>
        <v>0</v>
      </c>
      <c r="J118" s="686">
        <f t="shared" si="15"/>
        <v>0</v>
      </c>
      <c r="K118" s="686">
        <f t="shared" si="15"/>
        <v>0</v>
      </c>
      <c r="L118" s="686"/>
      <c r="M118" s="542"/>
      <c r="N118" s="542"/>
      <c r="O118" s="542"/>
      <c r="P118" s="686"/>
      <c r="Q118" s="542"/>
      <c r="R118" s="542"/>
      <c r="S118" s="542"/>
    </row>
    <row r="119" spans="1:19" hidden="1">
      <c r="A119" s="704">
        <f t="shared" si="16"/>
        <v>9.4399999999999906</v>
      </c>
      <c r="B119" s="542"/>
      <c r="C119" s="686">
        <f t="shared" si="14"/>
        <v>0</v>
      </c>
      <c r="D119" s="686">
        <f t="shared" si="12"/>
        <v>0</v>
      </c>
      <c r="E119" s="686"/>
      <c r="F119" s="686"/>
      <c r="G119" s="686">
        <f t="shared" si="13"/>
        <v>0</v>
      </c>
      <c r="H119" s="686"/>
      <c r="I119" s="686">
        <f t="shared" si="15"/>
        <v>0</v>
      </c>
      <c r="J119" s="686">
        <f t="shared" si="15"/>
        <v>0</v>
      </c>
      <c r="K119" s="686">
        <f t="shared" si="15"/>
        <v>0</v>
      </c>
      <c r="L119" s="686"/>
      <c r="M119" s="542"/>
      <c r="N119" s="542"/>
      <c r="O119" s="542"/>
      <c r="P119" s="686"/>
      <c r="Q119" s="542"/>
      <c r="R119" s="542"/>
      <c r="S119" s="542"/>
    </row>
    <row r="120" spans="1:19" hidden="1">
      <c r="A120" s="704">
        <f t="shared" si="16"/>
        <v>9.4499999999999904</v>
      </c>
      <c r="B120" s="542"/>
      <c r="C120" s="686">
        <f t="shared" si="14"/>
        <v>0</v>
      </c>
      <c r="D120" s="686">
        <f t="shared" si="12"/>
        <v>0</v>
      </c>
      <c r="E120" s="686"/>
      <c r="F120" s="686"/>
      <c r="G120" s="686">
        <f t="shared" si="13"/>
        <v>0</v>
      </c>
      <c r="H120" s="686"/>
      <c r="I120" s="686">
        <f t="shared" si="15"/>
        <v>0</v>
      </c>
      <c r="J120" s="686">
        <f t="shared" si="15"/>
        <v>0</v>
      </c>
      <c r="K120" s="686">
        <f t="shared" si="15"/>
        <v>0</v>
      </c>
      <c r="L120" s="686"/>
      <c r="M120" s="542"/>
      <c r="N120" s="542"/>
      <c r="O120" s="542"/>
      <c r="P120" s="686"/>
      <c r="Q120" s="542"/>
      <c r="R120" s="542"/>
      <c r="S120" s="542"/>
    </row>
    <row r="121" spans="1:19" hidden="1">
      <c r="A121" s="704">
        <f t="shared" si="16"/>
        <v>9.4599999999999902</v>
      </c>
      <c r="B121" s="542"/>
      <c r="C121" s="686">
        <f t="shared" si="14"/>
        <v>0</v>
      </c>
      <c r="D121" s="686">
        <f t="shared" si="12"/>
        <v>0</v>
      </c>
      <c r="E121" s="686"/>
      <c r="F121" s="686"/>
      <c r="G121" s="686">
        <f t="shared" si="13"/>
        <v>0</v>
      </c>
      <c r="H121" s="686"/>
      <c r="I121" s="686">
        <f t="shared" si="15"/>
        <v>0</v>
      </c>
      <c r="J121" s="686">
        <f t="shared" si="15"/>
        <v>0</v>
      </c>
      <c r="K121" s="686">
        <f t="shared" si="15"/>
        <v>0</v>
      </c>
      <c r="L121" s="686"/>
      <c r="M121" s="542"/>
      <c r="N121" s="542"/>
      <c r="O121" s="542"/>
      <c r="P121" s="686"/>
      <c r="Q121" s="542"/>
      <c r="R121" s="542"/>
      <c r="S121" s="542"/>
    </row>
    <row r="122" spans="1:19" hidden="1">
      <c r="A122" s="704">
        <f t="shared" si="16"/>
        <v>9.46999999999999</v>
      </c>
      <c r="B122" s="542"/>
      <c r="C122" s="686">
        <f t="shared" si="14"/>
        <v>0</v>
      </c>
      <c r="D122" s="686">
        <f t="shared" si="12"/>
        <v>0</v>
      </c>
      <c r="E122" s="686"/>
      <c r="F122" s="686"/>
      <c r="G122" s="686">
        <f t="shared" si="13"/>
        <v>0</v>
      </c>
      <c r="H122" s="686"/>
      <c r="I122" s="686">
        <f t="shared" si="15"/>
        <v>0</v>
      </c>
      <c r="J122" s="686">
        <f t="shared" si="15"/>
        <v>0</v>
      </c>
      <c r="K122" s="686">
        <f t="shared" si="15"/>
        <v>0</v>
      </c>
      <c r="L122" s="686"/>
      <c r="M122" s="542"/>
      <c r="N122" s="542"/>
      <c r="O122" s="542"/>
      <c r="P122" s="686"/>
      <c r="Q122" s="542"/>
      <c r="R122" s="542"/>
      <c r="S122" s="542"/>
    </row>
    <row r="123" spans="1:19" hidden="1">
      <c r="A123" s="704">
        <f t="shared" si="16"/>
        <v>9.4799999999999898</v>
      </c>
      <c r="B123" s="542"/>
      <c r="C123" s="686">
        <f t="shared" si="14"/>
        <v>0</v>
      </c>
      <c r="D123" s="686">
        <f t="shared" si="12"/>
        <v>0</v>
      </c>
      <c r="E123" s="686"/>
      <c r="F123" s="686"/>
      <c r="G123" s="686">
        <f t="shared" si="13"/>
        <v>0</v>
      </c>
      <c r="H123" s="686"/>
      <c r="I123" s="686">
        <f t="shared" si="15"/>
        <v>0</v>
      </c>
      <c r="J123" s="686">
        <f t="shared" si="15"/>
        <v>0</v>
      </c>
      <c r="K123" s="686">
        <f t="shared" si="15"/>
        <v>0</v>
      </c>
      <c r="L123" s="686"/>
      <c r="M123" s="542"/>
      <c r="N123" s="542"/>
      <c r="O123" s="542"/>
      <c r="P123" s="686"/>
      <c r="Q123" s="542"/>
      <c r="R123" s="542"/>
      <c r="S123" s="542"/>
    </row>
    <row r="124" spans="1:19" hidden="1">
      <c r="A124" s="704">
        <f t="shared" si="16"/>
        <v>9.4899999999999896</v>
      </c>
      <c r="B124" s="542"/>
      <c r="C124" s="686">
        <f t="shared" si="14"/>
        <v>0</v>
      </c>
      <c r="D124" s="686">
        <f t="shared" si="12"/>
        <v>0</v>
      </c>
      <c r="E124" s="686"/>
      <c r="F124" s="686"/>
      <c r="G124" s="686">
        <f t="shared" si="13"/>
        <v>0</v>
      </c>
      <c r="H124" s="686"/>
      <c r="I124" s="686">
        <f t="shared" si="15"/>
        <v>0</v>
      </c>
      <c r="J124" s="686">
        <f t="shared" si="15"/>
        <v>0</v>
      </c>
      <c r="K124" s="686">
        <f t="shared" si="15"/>
        <v>0</v>
      </c>
      <c r="L124" s="686"/>
      <c r="M124" s="542"/>
      <c r="N124" s="542"/>
      <c r="O124" s="542"/>
      <c r="P124" s="686"/>
      <c r="Q124" s="542"/>
      <c r="R124" s="542"/>
      <c r="S124" s="542"/>
    </row>
    <row r="125" spans="1:19" hidden="1">
      <c r="A125" s="704">
        <f t="shared" si="16"/>
        <v>9.4999999999999893</v>
      </c>
      <c r="B125" s="542"/>
      <c r="C125" s="686">
        <f t="shared" si="14"/>
        <v>0</v>
      </c>
      <c r="D125" s="686">
        <f t="shared" si="12"/>
        <v>0</v>
      </c>
      <c r="E125" s="686"/>
      <c r="F125" s="686"/>
      <c r="G125" s="686">
        <f t="shared" si="13"/>
        <v>0</v>
      </c>
      <c r="H125" s="686"/>
      <c r="I125" s="686">
        <f t="shared" si="15"/>
        <v>0</v>
      </c>
      <c r="J125" s="686">
        <f t="shared" si="15"/>
        <v>0</v>
      </c>
      <c r="K125" s="686">
        <f t="shared" si="15"/>
        <v>0</v>
      </c>
      <c r="L125" s="686"/>
      <c r="M125" s="542"/>
      <c r="N125" s="542"/>
      <c r="O125" s="542"/>
      <c r="P125" s="686"/>
      <c r="Q125" s="542"/>
      <c r="R125" s="542"/>
      <c r="S125" s="542"/>
    </row>
    <row r="126" spans="1:19" hidden="1">
      <c r="A126" s="704">
        <f t="shared" si="16"/>
        <v>9.5099999999999891</v>
      </c>
      <c r="B126" s="542"/>
      <c r="C126" s="686">
        <f t="shared" si="14"/>
        <v>0</v>
      </c>
      <c r="D126" s="686">
        <f t="shared" si="12"/>
        <v>0</v>
      </c>
      <c r="E126" s="686"/>
      <c r="F126" s="686"/>
      <c r="G126" s="686">
        <f t="shared" si="13"/>
        <v>0</v>
      </c>
      <c r="H126" s="686"/>
      <c r="I126" s="686">
        <f t="shared" si="15"/>
        <v>0</v>
      </c>
      <c r="J126" s="686">
        <f t="shared" si="15"/>
        <v>0</v>
      </c>
      <c r="K126" s="686">
        <f t="shared" si="15"/>
        <v>0</v>
      </c>
      <c r="L126" s="686"/>
      <c r="M126" s="542"/>
      <c r="N126" s="542"/>
      <c r="O126" s="542"/>
      <c r="P126" s="686"/>
      <c r="Q126" s="542"/>
      <c r="R126" s="542"/>
      <c r="S126" s="542"/>
    </row>
    <row r="127" spans="1:19" hidden="1">
      <c r="A127" s="704">
        <f t="shared" si="16"/>
        <v>9.5199999999999889</v>
      </c>
      <c r="B127" s="542"/>
      <c r="C127" s="686">
        <f t="shared" si="14"/>
        <v>0</v>
      </c>
      <c r="D127" s="686">
        <f t="shared" si="12"/>
        <v>0</v>
      </c>
      <c r="E127" s="686"/>
      <c r="F127" s="686"/>
      <c r="G127" s="686">
        <f t="shared" si="13"/>
        <v>0</v>
      </c>
      <c r="H127" s="686"/>
      <c r="I127" s="686">
        <f t="shared" si="15"/>
        <v>0</v>
      </c>
      <c r="J127" s="686">
        <f t="shared" si="15"/>
        <v>0</v>
      </c>
      <c r="K127" s="686">
        <f t="shared" si="15"/>
        <v>0</v>
      </c>
      <c r="L127" s="686"/>
      <c r="M127" s="542"/>
      <c r="N127" s="542"/>
      <c r="O127" s="542"/>
      <c r="P127" s="686"/>
      <c r="Q127" s="542"/>
      <c r="R127" s="542"/>
      <c r="S127" s="542"/>
    </row>
    <row r="128" spans="1:19" hidden="1">
      <c r="A128" s="704">
        <f t="shared" si="16"/>
        <v>9.5299999999999887</v>
      </c>
      <c r="B128" s="542"/>
      <c r="C128" s="686">
        <f t="shared" si="14"/>
        <v>0</v>
      </c>
      <c r="D128" s="686">
        <f t="shared" si="12"/>
        <v>0</v>
      </c>
      <c r="E128" s="686"/>
      <c r="F128" s="686"/>
      <c r="G128" s="686">
        <f t="shared" si="13"/>
        <v>0</v>
      </c>
      <c r="H128" s="686"/>
      <c r="I128" s="686">
        <f t="shared" si="15"/>
        <v>0</v>
      </c>
      <c r="J128" s="686">
        <f t="shared" si="15"/>
        <v>0</v>
      </c>
      <c r="K128" s="686">
        <f t="shared" si="15"/>
        <v>0</v>
      </c>
      <c r="L128" s="686"/>
      <c r="M128" s="542"/>
      <c r="N128" s="542"/>
      <c r="O128" s="542"/>
      <c r="P128" s="686"/>
      <c r="Q128" s="542"/>
      <c r="R128" s="542"/>
      <c r="S128" s="542"/>
    </row>
    <row r="129" spans="1:19" hidden="1">
      <c r="A129" s="704">
        <f t="shared" si="16"/>
        <v>9.5399999999999885</v>
      </c>
      <c r="B129" s="542"/>
      <c r="C129" s="686">
        <f t="shared" si="14"/>
        <v>0</v>
      </c>
      <c r="D129" s="686">
        <f t="shared" si="12"/>
        <v>0</v>
      </c>
      <c r="E129" s="686"/>
      <c r="F129" s="686"/>
      <c r="G129" s="686">
        <f t="shared" si="13"/>
        <v>0</v>
      </c>
      <c r="H129" s="686"/>
      <c r="I129" s="686">
        <f t="shared" si="15"/>
        <v>0</v>
      </c>
      <c r="J129" s="686">
        <f t="shared" si="15"/>
        <v>0</v>
      </c>
      <c r="K129" s="686">
        <f t="shared" si="15"/>
        <v>0</v>
      </c>
      <c r="L129" s="686"/>
      <c r="M129" s="542"/>
      <c r="N129" s="542"/>
      <c r="O129" s="542"/>
      <c r="P129" s="686"/>
      <c r="Q129" s="542"/>
      <c r="R129" s="542"/>
      <c r="S129" s="542"/>
    </row>
    <row r="130" spans="1:19" hidden="1">
      <c r="A130" s="704">
        <f t="shared" si="16"/>
        <v>9.5499999999999883</v>
      </c>
      <c r="B130" s="542"/>
      <c r="C130" s="686">
        <f t="shared" si="14"/>
        <v>0</v>
      </c>
      <c r="D130" s="686">
        <f t="shared" si="12"/>
        <v>0</v>
      </c>
      <c r="E130" s="686"/>
      <c r="F130" s="686"/>
      <c r="G130" s="686">
        <f t="shared" si="13"/>
        <v>0</v>
      </c>
      <c r="H130" s="686"/>
      <c r="I130" s="686">
        <f t="shared" si="15"/>
        <v>0</v>
      </c>
      <c r="J130" s="686">
        <f t="shared" si="15"/>
        <v>0</v>
      </c>
      <c r="K130" s="686">
        <f t="shared" si="15"/>
        <v>0</v>
      </c>
      <c r="L130" s="686"/>
      <c r="M130" s="542"/>
      <c r="N130" s="542"/>
      <c r="O130" s="542"/>
      <c r="P130" s="686"/>
      <c r="Q130" s="542"/>
      <c r="R130" s="542"/>
      <c r="S130" s="542"/>
    </row>
    <row r="131" spans="1:19" hidden="1">
      <c r="A131" s="704">
        <f t="shared" si="16"/>
        <v>9.5599999999999881</v>
      </c>
      <c r="B131" s="542"/>
      <c r="C131" s="686">
        <f t="shared" si="14"/>
        <v>0</v>
      </c>
      <c r="D131" s="686">
        <f t="shared" si="12"/>
        <v>0</v>
      </c>
      <c r="E131" s="686"/>
      <c r="F131" s="686"/>
      <c r="G131" s="686">
        <f>ROUND(SUM(C131:F131)/2,0)</f>
        <v>0</v>
      </c>
      <c r="H131" s="686"/>
      <c r="I131" s="686">
        <f t="shared" si="15"/>
        <v>0</v>
      </c>
      <c r="J131" s="686">
        <f t="shared" si="15"/>
        <v>0</v>
      </c>
      <c r="K131" s="686">
        <f t="shared" si="15"/>
        <v>0</v>
      </c>
      <c r="L131" s="686"/>
      <c r="M131" s="542"/>
      <c r="N131" s="542"/>
      <c r="O131" s="542"/>
      <c r="P131" s="686"/>
      <c r="Q131" s="542"/>
      <c r="R131" s="542"/>
      <c r="S131" s="542"/>
    </row>
    <row r="132" spans="1:19" hidden="1">
      <c r="A132" s="704">
        <f t="shared" si="16"/>
        <v>9.5699999999999878</v>
      </c>
      <c r="B132" s="542"/>
      <c r="C132" s="686">
        <f t="shared" si="14"/>
        <v>0</v>
      </c>
      <c r="D132" s="686">
        <f t="shared" si="12"/>
        <v>0</v>
      </c>
      <c r="E132" s="686"/>
      <c r="F132" s="686"/>
      <c r="G132" s="686">
        <f>ROUND(SUM(C132:F132)/2,0)</f>
        <v>0</v>
      </c>
      <c r="H132" s="686"/>
      <c r="I132" s="686">
        <f t="shared" si="15"/>
        <v>0</v>
      </c>
      <c r="J132" s="686">
        <f t="shared" si="15"/>
        <v>0</v>
      </c>
      <c r="K132" s="686">
        <f t="shared" si="15"/>
        <v>0</v>
      </c>
      <c r="L132" s="686"/>
      <c r="M132" s="542"/>
      <c r="N132" s="542"/>
      <c r="O132" s="542"/>
      <c r="P132" s="686"/>
      <c r="Q132" s="542"/>
      <c r="R132" s="542"/>
      <c r="S132" s="542"/>
    </row>
    <row r="133" spans="1:19" hidden="1">
      <c r="A133" s="704">
        <f t="shared" si="16"/>
        <v>9.5799999999999876</v>
      </c>
      <c r="B133" s="542"/>
      <c r="C133" s="686">
        <f t="shared" si="14"/>
        <v>0</v>
      </c>
      <c r="D133" s="686">
        <f t="shared" si="12"/>
        <v>0</v>
      </c>
      <c r="E133" s="686"/>
      <c r="F133" s="686"/>
      <c r="G133" s="686">
        <f>ROUND(SUM(C133:F133)/2,0)</f>
        <v>0</v>
      </c>
      <c r="H133" s="686"/>
      <c r="I133" s="686">
        <f t="shared" si="15"/>
        <v>0</v>
      </c>
      <c r="J133" s="686">
        <f t="shared" si="15"/>
        <v>0</v>
      </c>
      <c r="K133" s="686">
        <f t="shared" si="15"/>
        <v>0</v>
      </c>
      <c r="L133" s="686"/>
      <c r="M133" s="542"/>
      <c r="N133" s="542"/>
      <c r="O133" s="542"/>
      <c r="P133" s="686"/>
      <c r="Q133" s="542"/>
      <c r="R133" s="542"/>
      <c r="S133" s="542"/>
    </row>
    <row r="134" spans="1:19" hidden="1">
      <c r="A134" s="704">
        <f t="shared" si="16"/>
        <v>9.5899999999999874</v>
      </c>
      <c r="B134" s="542"/>
      <c r="C134" s="686">
        <f t="shared" si="14"/>
        <v>0</v>
      </c>
      <c r="D134" s="686">
        <f t="shared" si="12"/>
        <v>0</v>
      </c>
      <c r="E134" s="686"/>
      <c r="F134" s="686"/>
      <c r="G134" s="686">
        <f t="shared" ref="G134:G174" si="17">ROUND(SUM(C134:F134)/2,0)</f>
        <v>0</v>
      </c>
      <c r="H134" s="686"/>
      <c r="I134" s="686">
        <f t="shared" si="15"/>
        <v>0</v>
      </c>
      <c r="J134" s="686">
        <f t="shared" si="15"/>
        <v>0</v>
      </c>
      <c r="K134" s="686">
        <f t="shared" si="15"/>
        <v>0</v>
      </c>
      <c r="L134" s="686"/>
      <c r="M134" s="542"/>
      <c r="N134" s="542"/>
      <c r="O134" s="542"/>
      <c r="P134" s="686"/>
      <c r="Q134" s="542"/>
      <c r="R134" s="542"/>
      <c r="S134" s="542"/>
    </row>
    <row r="135" spans="1:19" hidden="1">
      <c r="A135" s="704">
        <f t="shared" si="16"/>
        <v>9.5999999999999872</v>
      </c>
      <c r="B135" s="542"/>
      <c r="C135" s="686">
        <f t="shared" si="14"/>
        <v>0</v>
      </c>
      <c r="D135" s="686">
        <f t="shared" si="12"/>
        <v>0</v>
      </c>
      <c r="E135" s="686"/>
      <c r="F135" s="686"/>
      <c r="G135" s="686">
        <f t="shared" si="17"/>
        <v>0</v>
      </c>
      <c r="H135" s="686"/>
      <c r="I135" s="686">
        <f t="shared" si="15"/>
        <v>0</v>
      </c>
      <c r="J135" s="686">
        <f t="shared" si="15"/>
        <v>0</v>
      </c>
      <c r="K135" s="686">
        <f t="shared" si="15"/>
        <v>0</v>
      </c>
      <c r="L135" s="686"/>
      <c r="M135" s="542"/>
      <c r="N135" s="542"/>
      <c r="O135" s="542"/>
      <c r="P135" s="686"/>
      <c r="Q135" s="542"/>
      <c r="R135" s="542"/>
      <c r="S135" s="542"/>
    </row>
    <row r="136" spans="1:19" hidden="1">
      <c r="A136" s="704">
        <f t="shared" si="16"/>
        <v>9.609999999999987</v>
      </c>
      <c r="B136" s="542"/>
      <c r="C136" s="686">
        <f t="shared" si="14"/>
        <v>0</v>
      </c>
      <c r="D136" s="686">
        <f t="shared" si="12"/>
        <v>0</v>
      </c>
      <c r="E136" s="686"/>
      <c r="F136" s="686"/>
      <c r="G136" s="686">
        <f t="shared" si="17"/>
        <v>0</v>
      </c>
      <c r="H136" s="686"/>
      <c r="I136" s="686">
        <f t="shared" si="15"/>
        <v>0</v>
      </c>
      <c r="J136" s="686">
        <f t="shared" si="15"/>
        <v>0</v>
      </c>
      <c r="K136" s="686">
        <f t="shared" si="15"/>
        <v>0</v>
      </c>
      <c r="L136" s="686"/>
      <c r="M136" s="542"/>
      <c r="N136" s="542"/>
      <c r="O136" s="542"/>
      <c r="P136" s="686"/>
      <c r="Q136" s="542"/>
      <c r="R136" s="542"/>
      <c r="S136" s="542"/>
    </row>
    <row r="137" spans="1:19" hidden="1">
      <c r="A137" s="704">
        <f t="shared" si="16"/>
        <v>9.6199999999999868</v>
      </c>
      <c r="B137" s="542"/>
      <c r="C137" s="686">
        <f t="shared" si="14"/>
        <v>0</v>
      </c>
      <c r="D137" s="686">
        <f t="shared" si="12"/>
        <v>0</v>
      </c>
      <c r="E137" s="686"/>
      <c r="F137" s="686"/>
      <c r="G137" s="686">
        <f t="shared" si="17"/>
        <v>0</v>
      </c>
      <c r="H137" s="686"/>
      <c r="I137" s="686">
        <f t="shared" ref="I137:K157" si="18">(M137+Q137)/2</f>
        <v>0</v>
      </c>
      <c r="J137" s="686">
        <f t="shared" si="18"/>
        <v>0</v>
      </c>
      <c r="K137" s="686">
        <f t="shared" si="18"/>
        <v>0</v>
      </c>
      <c r="L137" s="686"/>
      <c r="M137" s="542"/>
      <c r="N137" s="542"/>
      <c r="O137" s="542"/>
      <c r="P137" s="686"/>
      <c r="Q137" s="542"/>
      <c r="R137" s="542"/>
      <c r="S137" s="542"/>
    </row>
    <row r="138" spans="1:19" hidden="1">
      <c r="A138" s="704">
        <f t="shared" si="16"/>
        <v>9.6299999999999866</v>
      </c>
      <c r="B138" s="542"/>
      <c r="C138" s="686">
        <f t="shared" si="14"/>
        <v>0</v>
      </c>
      <c r="D138" s="686">
        <f t="shared" si="12"/>
        <v>0</v>
      </c>
      <c r="E138" s="686"/>
      <c r="F138" s="686"/>
      <c r="G138" s="686">
        <f t="shared" si="17"/>
        <v>0</v>
      </c>
      <c r="H138" s="686"/>
      <c r="I138" s="686">
        <f t="shared" si="18"/>
        <v>0</v>
      </c>
      <c r="J138" s="686">
        <f t="shared" si="18"/>
        <v>0</v>
      </c>
      <c r="K138" s="686">
        <f t="shared" si="18"/>
        <v>0</v>
      </c>
      <c r="L138" s="686"/>
      <c r="M138" s="542"/>
      <c r="N138" s="542"/>
      <c r="O138" s="542"/>
      <c r="P138" s="686"/>
      <c r="Q138" s="542"/>
      <c r="R138" s="542"/>
      <c r="S138" s="542"/>
    </row>
    <row r="139" spans="1:19" hidden="1">
      <c r="A139" s="704">
        <f t="shared" si="16"/>
        <v>9.6399999999999864</v>
      </c>
      <c r="B139" s="542"/>
      <c r="C139" s="691">
        <f t="shared" si="14"/>
        <v>0</v>
      </c>
      <c r="D139" s="691">
        <f t="shared" si="12"/>
        <v>0</v>
      </c>
      <c r="E139" s="691"/>
      <c r="F139" s="691"/>
      <c r="G139" s="691">
        <f t="shared" si="17"/>
        <v>0</v>
      </c>
      <c r="H139" s="691"/>
      <c r="I139" s="691">
        <f t="shared" si="18"/>
        <v>0</v>
      </c>
      <c r="J139" s="691">
        <f t="shared" si="18"/>
        <v>0</v>
      </c>
      <c r="K139" s="691">
        <f t="shared" si="18"/>
        <v>0</v>
      </c>
      <c r="L139" s="691"/>
      <c r="M139" s="542"/>
      <c r="N139" s="542"/>
      <c r="O139" s="542"/>
      <c r="P139" s="691"/>
      <c r="Q139" s="542"/>
      <c r="R139" s="542"/>
      <c r="S139" s="542"/>
    </row>
    <row r="140" spans="1:19" hidden="1">
      <c r="A140" s="704">
        <f>A139+0.01</f>
        <v>9.6499999999999861</v>
      </c>
      <c r="B140" s="542"/>
      <c r="C140" s="686">
        <f t="shared" si="14"/>
        <v>0</v>
      </c>
      <c r="D140" s="686">
        <f t="shared" ref="D140:D168" si="19">SUM(Q140:S140)</f>
        <v>0</v>
      </c>
      <c r="E140" s="686"/>
      <c r="F140" s="686"/>
      <c r="G140" s="686">
        <f t="shared" si="17"/>
        <v>0</v>
      </c>
      <c r="H140" s="686"/>
      <c r="I140" s="686">
        <f t="shared" si="18"/>
        <v>0</v>
      </c>
      <c r="J140" s="686">
        <f t="shared" si="18"/>
        <v>0</v>
      </c>
      <c r="K140" s="686">
        <f t="shared" si="18"/>
        <v>0</v>
      </c>
      <c r="L140" s="686"/>
      <c r="M140" s="542"/>
      <c r="N140" s="542"/>
      <c r="O140" s="542"/>
      <c r="P140" s="686"/>
      <c r="Q140" s="542"/>
      <c r="R140" s="542"/>
      <c r="S140" s="542"/>
    </row>
    <row r="141" spans="1:19" hidden="1">
      <c r="A141" s="704">
        <f t="shared" si="16"/>
        <v>9.6599999999999859</v>
      </c>
      <c r="B141" s="542"/>
      <c r="C141" s="686">
        <f t="shared" ref="C141:C168" si="20">SUM(M141:O141)</f>
        <v>0</v>
      </c>
      <c r="D141" s="686">
        <f t="shared" si="19"/>
        <v>0</v>
      </c>
      <c r="E141" s="686"/>
      <c r="F141" s="686"/>
      <c r="G141" s="686">
        <f t="shared" si="17"/>
        <v>0</v>
      </c>
      <c r="H141" s="686"/>
      <c r="I141" s="686">
        <f t="shared" si="18"/>
        <v>0</v>
      </c>
      <c r="J141" s="686">
        <f t="shared" si="18"/>
        <v>0</v>
      </c>
      <c r="K141" s="686">
        <f t="shared" si="18"/>
        <v>0</v>
      </c>
      <c r="L141" s="686"/>
      <c r="M141" s="542"/>
      <c r="N141" s="542"/>
      <c r="O141" s="542"/>
      <c r="P141" s="686"/>
      <c r="Q141" s="542"/>
      <c r="R141" s="542"/>
      <c r="S141" s="542"/>
    </row>
    <row r="142" spans="1:19" hidden="1">
      <c r="A142" s="704">
        <f t="shared" ref="A142:A174" si="21">A141+0.01</f>
        <v>9.6699999999999857</v>
      </c>
      <c r="B142" s="542"/>
      <c r="C142" s="686">
        <f t="shared" si="20"/>
        <v>0</v>
      </c>
      <c r="D142" s="686">
        <f t="shared" si="19"/>
        <v>0</v>
      </c>
      <c r="E142" s="686"/>
      <c r="F142" s="686"/>
      <c r="G142" s="686">
        <f t="shared" si="17"/>
        <v>0</v>
      </c>
      <c r="H142" s="686"/>
      <c r="I142" s="686">
        <f t="shared" si="18"/>
        <v>0</v>
      </c>
      <c r="J142" s="686">
        <f t="shared" si="18"/>
        <v>0</v>
      </c>
      <c r="K142" s="686">
        <f t="shared" si="18"/>
        <v>0</v>
      </c>
      <c r="L142" s="686"/>
      <c r="M142" s="542"/>
      <c r="N142" s="542"/>
      <c r="O142" s="542"/>
      <c r="P142" s="686"/>
      <c r="Q142" s="542"/>
      <c r="R142" s="542"/>
      <c r="S142" s="542"/>
    </row>
    <row r="143" spans="1:19" hidden="1">
      <c r="A143" s="704">
        <f t="shared" si="21"/>
        <v>9.6799999999999855</v>
      </c>
      <c r="B143" s="542"/>
      <c r="C143" s="686">
        <f t="shared" si="20"/>
        <v>0</v>
      </c>
      <c r="D143" s="686">
        <f t="shared" si="19"/>
        <v>0</v>
      </c>
      <c r="E143" s="686"/>
      <c r="F143" s="686"/>
      <c r="G143" s="686">
        <f t="shared" si="17"/>
        <v>0</v>
      </c>
      <c r="H143" s="686"/>
      <c r="I143" s="686">
        <f t="shared" si="18"/>
        <v>0</v>
      </c>
      <c r="J143" s="686">
        <f t="shared" si="18"/>
        <v>0</v>
      </c>
      <c r="K143" s="686">
        <f t="shared" si="18"/>
        <v>0</v>
      </c>
      <c r="L143" s="686"/>
      <c r="M143" s="542"/>
      <c r="N143" s="542"/>
      <c r="O143" s="542"/>
      <c r="P143" s="686"/>
      <c r="Q143" s="542"/>
      <c r="R143" s="542"/>
      <c r="S143" s="542"/>
    </row>
    <row r="144" spans="1:19" hidden="1">
      <c r="A144" s="704">
        <f t="shared" si="21"/>
        <v>9.6899999999999853</v>
      </c>
      <c r="B144" s="542"/>
      <c r="C144" s="686">
        <f t="shared" si="20"/>
        <v>0</v>
      </c>
      <c r="D144" s="686">
        <f t="shared" si="19"/>
        <v>0</v>
      </c>
      <c r="E144" s="686"/>
      <c r="F144" s="686"/>
      <c r="G144" s="686">
        <f t="shared" si="17"/>
        <v>0</v>
      </c>
      <c r="H144" s="686"/>
      <c r="I144" s="686">
        <f t="shared" si="18"/>
        <v>0</v>
      </c>
      <c r="J144" s="686">
        <f t="shared" si="18"/>
        <v>0</v>
      </c>
      <c r="K144" s="686">
        <f t="shared" si="18"/>
        <v>0</v>
      </c>
      <c r="L144" s="686"/>
      <c r="M144" s="542"/>
      <c r="N144" s="542"/>
      <c r="O144" s="542"/>
      <c r="P144" s="686"/>
      <c r="Q144" s="542"/>
      <c r="R144" s="542"/>
      <c r="S144" s="542"/>
    </row>
    <row r="145" spans="1:19" hidden="1">
      <c r="A145" s="704">
        <f t="shared" si="21"/>
        <v>9.6999999999999851</v>
      </c>
      <c r="B145" s="542"/>
      <c r="C145" s="686">
        <f>SUM(M145:O145)</f>
        <v>0</v>
      </c>
      <c r="D145" s="686">
        <f t="shared" si="19"/>
        <v>0</v>
      </c>
      <c r="E145" s="686"/>
      <c r="F145" s="686"/>
      <c r="G145" s="686">
        <f t="shared" si="17"/>
        <v>0</v>
      </c>
      <c r="H145" s="686"/>
      <c r="I145" s="686">
        <f t="shared" si="18"/>
        <v>0</v>
      </c>
      <c r="J145" s="686">
        <f t="shared" si="18"/>
        <v>0</v>
      </c>
      <c r="K145" s="686">
        <f t="shared" si="18"/>
        <v>0</v>
      </c>
      <c r="L145" s="686"/>
      <c r="M145" s="542"/>
      <c r="N145" s="542"/>
      <c r="O145" s="542"/>
      <c r="P145" s="686"/>
      <c r="Q145" s="542"/>
      <c r="R145" s="542"/>
      <c r="S145" s="542"/>
    </row>
    <row r="146" spans="1:19" hidden="1">
      <c r="A146" s="704">
        <f t="shared" si="21"/>
        <v>9.7099999999999849</v>
      </c>
      <c r="B146" s="542"/>
      <c r="C146" s="686">
        <f t="shared" si="20"/>
        <v>0</v>
      </c>
      <c r="D146" s="686">
        <f t="shared" si="19"/>
        <v>0</v>
      </c>
      <c r="E146" s="686"/>
      <c r="F146" s="686"/>
      <c r="G146" s="686">
        <f t="shared" si="17"/>
        <v>0</v>
      </c>
      <c r="H146" s="686"/>
      <c r="I146" s="686">
        <f t="shared" si="18"/>
        <v>0</v>
      </c>
      <c r="J146" s="686">
        <f t="shared" si="18"/>
        <v>0</v>
      </c>
      <c r="K146" s="686">
        <f t="shared" si="18"/>
        <v>0</v>
      </c>
      <c r="L146" s="686"/>
      <c r="M146" s="542"/>
      <c r="N146" s="542"/>
      <c r="O146" s="542"/>
      <c r="P146" s="686"/>
      <c r="Q146" s="542"/>
      <c r="R146" s="542"/>
      <c r="S146" s="542"/>
    </row>
    <row r="147" spans="1:19" hidden="1">
      <c r="A147" s="704">
        <f t="shared" si="21"/>
        <v>9.7199999999999847</v>
      </c>
      <c r="B147" s="542"/>
      <c r="C147" s="686">
        <f>SUM(M147:O147)</f>
        <v>0</v>
      </c>
      <c r="D147" s="686">
        <f t="shared" si="19"/>
        <v>0</v>
      </c>
      <c r="E147" s="686"/>
      <c r="F147" s="686"/>
      <c r="G147" s="686">
        <f t="shared" si="17"/>
        <v>0</v>
      </c>
      <c r="H147" s="686"/>
      <c r="I147" s="686">
        <f t="shared" si="18"/>
        <v>0</v>
      </c>
      <c r="J147" s="686">
        <f t="shared" si="18"/>
        <v>0</v>
      </c>
      <c r="K147" s="686">
        <f t="shared" si="18"/>
        <v>0</v>
      </c>
      <c r="L147" s="686"/>
      <c r="M147" s="542"/>
      <c r="N147" s="542"/>
      <c r="O147" s="542"/>
      <c r="P147" s="686"/>
      <c r="Q147" s="542"/>
      <c r="R147" s="542"/>
      <c r="S147" s="542"/>
    </row>
    <row r="148" spans="1:19" hidden="1">
      <c r="A148" s="704">
        <f t="shared" si="21"/>
        <v>9.7299999999999844</v>
      </c>
      <c r="B148" s="542"/>
      <c r="C148" s="686">
        <f>SUM(M148:O148)</f>
        <v>0</v>
      </c>
      <c r="D148" s="686">
        <f t="shared" si="19"/>
        <v>0</v>
      </c>
      <c r="E148" s="686"/>
      <c r="F148" s="686"/>
      <c r="G148" s="686">
        <f t="shared" si="17"/>
        <v>0</v>
      </c>
      <c r="H148" s="686"/>
      <c r="I148" s="686">
        <f t="shared" si="18"/>
        <v>0</v>
      </c>
      <c r="J148" s="686">
        <f t="shared" si="18"/>
        <v>0</v>
      </c>
      <c r="K148" s="686">
        <f t="shared" si="18"/>
        <v>0</v>
      </c>
      <c r="L148" s="686"/>
      <c r="M148" s="542"/>
      <c r="N148" s="542"/>
      <c r="O148" s="542"/>
      <c r="P148" s="686"/>
      <c r="Q148" s="542"/>
      <c r="R148" s="542"/>
      <c r="S148" s="542"/>
    </row>
    <row r="149" spans="1:19" hidden="1">
      <c r="A149" s="704">
        <f t="shared" si="21"/>
        <v>9.7399999999999842</v>
      </c>
      <c r="B149" s="542"/>
      <c r="C149" s="686">
        <f>SUM(M149:O149)</f>
        <v>0</v>
      </c>
      <c r="D149" s="686">
        <f t="shared" si="19"/>
        <v>0</v>
      </c>
      <c r="E149" s="686"/>
      <c r="F149" s="686"/>
      <c r="G149" s="686">
        <f t="shared" si="17"/>
        <v>0</v>
      </c>
      <c r="H149" s="686"/>
      <c r="I149" s="686">
        <f t="shared" si="18"/>
        <v>0</v>
      </c>
      <c r="J149" s="686">
        <f t="shared" si="18"/>
        <v>0</v>
      </c>
      <c r="K149" s="686">
        <f t="shared" si="18"/>
        <v>0</v>
      </c>
      <c r="L149" s="686"/>
      <c r="M149" s="542"/>
      <c r="N149" s="542"/>
      <c r="O149" s="542"/>
      <c r="P149" s="686"/>
      <c r="Q149" s="542"/>
      <c r="R149" s="542"/>
      <c r="S149" s="542"/>
    </row>
    <row r="150" spans="1:19" hidden="1">
      <c r="A150" s="704">
        <f t="shared" si="21"/>
        <v>9.749999999999984</v>
      </c>
      <c r="B150" s="542"/>
      <c r="C150" s="686">
        <f>SUM(M150:O150)</f>
        <v>0</v>
      </c>
      <c r="D150" s="686">
        <f t="shared" si="19"/>
        <v>0</v>
      </c>
      <c r="E150" s="686"/>
      <c r="F150" s="686"/>
      <c r="G150" s="686">
        <f t="shared" si="17"/>
        <v>0</v>
      </c>
      <c r="H150" s="686"/>
      <c r="I150" s="686">
        <f t="shared" si="18"/>
        <v>0</v>
      </c>
      <c r="J150" s="686">
        <f t="shared" si="18"/>
        <v>0</v>
      </c>
      <c r="K150" s="686">
        <f t="shared" si="18"/>
        <v>0</v>
      </c>
      <c r="L150" s="686"/>
      <c r="M150" s="542"/>
      <c r="N150" s="542"/>
      <c r="O150" s="542"/>
      <c r="P150" s="686"/>
      <c r="Q150" s="542"/>
      <c r="R150" s="542"/>
      <c r="S150" s="542"/>
    </row>
    <row r="151" spans="1:19" hidden="1">
      <c r="A151" s="704">
        <f t="shared" si="21"/>
        <v>9.7599999999999838</v>
      </c>
      <c r="B151" s="542"/>
      <c r="C151" s="686">
        <f t="shared" si="20"/>
        <v>0</v>
      </c>
      <c r="D151" s="686">
        <f t="shared" si="19"/>
        <v>0</v>
      </c>
      <c r="E151" s="686"/>
      <c r="F151" s="686"/>
      <c r="G151" s="686">
        <f t="shared" si="17"/>
        <v>0</v>
      </c>
      <c r="H151" s="686"/>
      <c r="I151" s="686">
        <f t="shared" si="18"/>
        <v>0</v>
      </c>
      <c r="J151" s="686">
        <f t="shared" si="18"/>
        <v>0</v>
      </c>
      <c r="K151" s="686">
        <f t="shared" si="18"/>
        <v>0</v>
      </c>
      <c r="L151" s="686"/>
      <c r="M151" s="542"/>
      <c r="N151" s="542"/>
      <c r="O151" s="542"/>
      <c r="P151" s="686"/>
      <c r="Q151" s="542"/>
      <c r="R151" s="542"/>
      <c r="S151" s="542"/>
    </row>
    <row r="152" spans="1:19" hidden="1">
      <c r="A152" s="704">
        <f t="shared" si="21"/>
        <v>9.7699999999999836</v>
      </c>
      <c r="B152" s="542"/>
      <c r="C152" s="686">
        <f t="shared" si="20"/>
        <v>0</v>
      </c>
      <c r="D152" s="686">
        <f t="shared" si="19"/>
        <v>0</v>
      </c>
      <c r="E152" s="686"/>
      <c r="F152" s="686"/>
      <c r="G152" s="686">
        <f t="shared" si="17"/>
        <v>0</v>
      </c>
      <c r="H152" s="686"/>
      <c r="I152" s="686">
        <f t="shared" si="18"/>
        <v>0</v>
      </c>
      <c r="J152" s="686">
        <f t="shared" si="18"/>
        <v>0</v>
      </c>
      <c r="K152" s="686">
        <f t="shared" si="18"/>
        <v>0</v>
      </c>
      <c r="L152" s="686"/>
      <c r="M152" s="542"/>
      <c r="N152" s="542"/>
      <c r="O152" s="542"/>
      <c r="P152" s="686"/>
      <c r="Q152" s="542"/>
      <c r="R152" s="542"/>
      <c r="S152" s="542"/>
    </row>
    <row r="153" spans="1:19" hidden="1">
      <c r="A153" s="704">
        <f t="shared" si="21"/>
        <v>9.7799999999999834</v>
      </c>
      <c r="B153" s="542"/>
      <c r="C153" s="686">
        <f t="shared" si="20"/>
        <v>0</v>
      </c>
      <c r="D153" s="686">
        <f t="shared" si="19"/>
        <v>0</v>
      </c>
      <c r="E153" s="686"/>
      <c r="F153" s="686"/>
      <c r="G153" s="686">
        <f t="shared" si="17"/>
        <v>0</v>
      </c>
      <c r="H153" s="686"/>
      <c r="I153" s="686">
        <f t="shared" si="18"/>
        <v>0</v>
      </c>
      <c r="J153" s="686">
        <f t="shared" si="18"/>
        <v>0</v>
      </c>
      <c r="K153" s="686">
        <f t="shared" si="18"/>
        <v>0</v>
      </c>
      <c r="L153" s="686"/>
      <c r="M153" s="542"/>
      <c r="N153" s="542"/>
      <c r="O153" s="542"/>
      <c r="P153" s="686"/>
      <c r="Q153" s="542"/>
      <c r="R153" s="542"/>
      <c r="S153" s="542"/>
    </row>
    <row r="154" spans="1:19" hidden="1">
      <c r="A154" s="704">
        <f t="shared" si="21"/>
        <v>9.7899999999999832</v>
      </c>
      <c r="B154" s="542"/>
      <c r="C154" s="686">
        <f t="shared" si="20"/>
        <v>0</v>
      </c>
      <c r="D154" s="686">
        <f t="shared" si="19"/>
        <v>0</v>
      </c>
      <c r="E154" s="686"/>
      <c r="F154" s="686"/>
      <c r="G154" s="686">
        <f t="shared" si="17"/>
        <v>0</v>
      </c>
      <c r="H154" s="686"/>
      <c r="I154" s="686">
        <f t="shared" si="18"/>
        <v>0</v>
      </c>
      <c r="J154" s="686">
        <f t="shared" si="18"/>
        <v>0</v>
      </c>
      <c r="K154" s="686">
        <f t="shared" si="18"/>
        <v>0</v>
      </c>
      <c r="L154" s="686"/>
      <c r="M154" s="542"/>
      <c r="N154" s="542"/>
      <c r="O154" s="542"/>
      <c r="P154" s="686"/>
      <c r="Q154" s="542"/>
      <c r="R154" s="542"/>
      <c r="S154" s="542"/>
    </row>
    <row r="155" spans="1:19" hidden="1">
      <c r="A155" s="704">
        <f t="shared" si="21"/>
        <v>9.7999999999999829</v>
      </c>
      <c r="B155" s="542"/>
      <c r="C155" s="686">
        <f t="shared" si="20"/>
        <v>0</v>
      </c>
      <c r="D155" s="686">
        <f t="shared" si="19"/>
        <v>0</v>
      </c>
      <c r="E155" s="686"/>
      <c r="F155" s="686"/>
      <c r="G155" s="686">
        <f t="shared" si="17"/>
        <v>0</v>
      </c>
      <c r="H155" s="686"/>
      <c r="I155" s="686">
        <f t="shared" si="18"/>
        <v>0</v>
      </c>
      <c r="J155" s="686">
        <f t="shared" si="18"/>
        <v>0</v>
      </c>
      <c r="K155" s="686">
        <f t="shared" si="18"/>
        <v>0</v>
      </c>
      <c r="L155" s="686"/>
      <c r="M155" s="542"/>
      <c r="N155" s="542"/>
      <c r="O155" s="542"/>
      <c r="P155" s="686"/>
      <c r="Q155" s="542"/>
      <c r="R155" s="542"/>
      <c r="S155" s="542"/>
    </row>
    <row r="156" spans="1:19" hidden="1">
      <c r="A156" s="704">
        <f t="shared" si="21"/>
        <v>9.8099999999999827</v>
      </c>
      <c r="B156" s="542"/>
      <c r="C156" s="686">
        <f t="shared" si="20"/>
        <v>0</v>
      </c>
      <c r="D156" s="686">
        <f t="shared" si="19"/>
        <v>0</v>
      </c>
      <c r="E156" s="686"/>
      <c r="F156" s="686"/>
      <c r="G156" s="686">
        <f t="shared" si="17"/>
        <v>0</v>
      </c>
      <c r="H156" s="686"/>
      <c r="I156" s="686">
        <f t="shared" si="18"/>
        <v>0</v>
      </c>
      <c r="J156" s="686">
        <f t="shared" si="18"/>
        <v>0</v>
      </c>
      <c r="K156" s="686">
        <f t="shared" si="18"/>
        <v>0</v>
      </c>
      <c r="L156" s="686"/>
      <c r="M156" s="542"/>
      <c r="N156" s="542"/>
      <c r="O156" s="542"/>
      <c r="P156" s="686"/>
      <c r="Q156" s="542"/>
      <c r="R156" s="542"/>
      <c r="S156" s="542"/>
    </row>
    <row r="157" spans="1:19" hidden="1">
      <c r="A157" s="704">
        <f t="shared" si="21"/>
        <v>9.8199999999999825</v>
      </c>
      <c r="B157" s="542"/>
      <c r="C157" s="686">
        <f t="shared" si="20"/>
        <v>0</v>
      </c>
      <c r="D157" s="686">
        <f t="shared" si="19"/>
        <v>0</v>
      </c>
      <c r="E157" s="686"/>
      <c r="F157" s="686"/>
      <c r="G157" s="686">
        <f t="shared" si="17"/>
        <v>0</v>
      </c>
      <c r="H157" s="686"/>
      <c r="I157" s="686">
        <f t="shared" si="18"/>
        <v>0</v>
      </c>
      <c r="J157" s="686">
        <f t="shared" si="18"/>
        <v>0</v>
      </c>
      <c r="K157" s="686">
        <f t="shared" si="18"/>
        <v>0</v>
      </c>
      <c r="L157" s="686"/>
      <c r="M157" s="542"/>
      <c r="N157" s="542"/>
      <c r="O157" s="542"/>
      <c r="P157" s="686"/>
      <c r="Q157" s="542"/>
      <c r="R157" s="542"/>
      <c r="S157" s="542"/>
    </row>
    <row r="158" spans="1:19" hidden="1">
      <c r="A158" s="704">
        <f t="shared" si="21"/>
        <v>9.8299999999999823</v>
      </c>
      <c r="B158" s="542"/>
      <c r="C158" s="686">
        <f>SUM(M158:O158)</f>
        <v>0</v>
      </c>
      <c r="D158" s="686">
        <f t="shared" si="19"/>
        <v>0</v>
      </c>
      <c r="E158" s="686"/>
      <c r="F158" s="686"/>
      <c r="G158" s="686">
        <f t="shared" si="17"/>
        <v>0</v>
      </c>
      <c r="H158" s="686"/>
      <c r="I158" s="686">
        <f t="shared" ref="I158:K168" si="22">(M158+Q158)/2</f>
        <v>0</v>
      </c>
      <c r="J158" s="686">
        <f t="shared" si="22"/>
        <v>0</v>
      </c>
      <c r="K158" s="686">
        <f t="shared" si="22"/>
        <v>0</v>
      </c>
      <c r="L158" s="686"/>
      <c r="M158" s="542"/>
      <c r="N158" s="542"/>
      <c r="O158" s="542"/>
      <c r="P158" s="686"/>
      <c r="Q158" s="542"/>
      <c r="R158" s="542"/>
      <c r="S158" s="542"/>
    </row>
    <row r="159" spans="1:19" hidden="1">
      <c r="A159" s="704">
        <f t="shared" si="21"/>
        <v>9.8399999999999821</v>
      </c>
      <c r="B159" s="542"/>
      <c r="C159" s="686">
        <f>SUM(M159:O159)</f>
        <v>0</v>
      </c>
      <c r="D159" s="686">
        <f t="shared" si="19"/>
        <v>0</v>
      </c>
      <c r="E159" s="686"/>
      <c r="F159" s="686"/>
      <c r="G159" s="686">
        <f t="shared" si="17"/>
        <v>0</v>
      </c>
      <c r="H159" s="686"/>
      <c r="I159" s="686">
        <f t="shared" si="22"/>
        <v>0</v>
      </c>
      <c r="J159" s="686">
        <f t="shared" si="22"/>
        <v>0</v>
      </c>
      <c r="K159" s="686">
        <f t="shared" si="22"/>
        <v>0</v>
      </c>
      <c r="L159" s="686"/>
      <c r="M159" s="542"/>
      <c r="N159" s="542"/>
      <c r="O159" s="542"/>
      <c r="P159" s="686"/>
      <c r="Q159" s="542"/>
      <c r="R159" s="542"/>
      <c r="S159" s="542"/>
    </row>
    <row r="160" spans="1:19" hidden="1">
      <c r="A160" s="704">
        <f t="shared" si="21"/>
        <v>9.8499999999999819</v>
      </c>
      <c r="B160" s="542"/>
      <c r="C160" s="686">
        <f>SUM(M160:O160)</f>
        <v>0</v>
      </c>
      <c r="D160" s="686">
        <f t="shared" si="19"/>
        <v>0</v>
      </c>
      <c r="E160" s="686"/>
      <c r="F160" s="686"/>
      <c r="G160" s="686">
        <f t="shared" si="17"/>
        <v>0</v>
      </c>
      <c r="H160" s="686"/>
      <c r="I160" s="686">
        <f t="shared" si="22"/>
        <v>0</v>
      </c>
      <c r="J160" s="686">
        <f t="shared" si="22"/>
        <v>0</v>
      </c>
      <c r="K160" s="686">
        <f t="shared" si="22"/>
        <v>0</v>
      </c>
      <c r="L160" s="686"/>
      <c r="M160" s="542"/>
      <c r="N160" s="542"/>
      <c r="O160" s="542"/>
      <c r="P160" s="686"/>
      <c r="Q160" s="542"/>
      <c r="R160" s="542"/>
      <c r="S160" s="542"/>
    </row>
    <row r="161" spans="1:19" hidden="1">
      <c r="A161" s="704">
        <f t="shared" si="21"/>
        <v>9.8599999999999817</v>
      </c>
      <c r="B161" s="542"/>
      <c r="C161" s="686">
        <f>SUM(M161:O161)</f>
        <v>0</v>
      </c>
      <c r="D161" s="686">
        <f t="shared" si="19"/>
        <v>0</v>
      </c>
      <c r="E161" s="686"/>
      <c r="F161" s="686"/>
      <c r="G161" s="686">
        <f t="shared" si="17"/>
        <v>0</v>
      </c>
      <c r="H161" s="686"/>
      <c r="I161" s="686">
        <f t="shared" si="22"/>
        <v>0</v>
      </c>
      <c r="J161" s="686">
        <f t="shared" si="22"/>
        <v>0</v>
      </c>
      <c r="K161" s="686">
        <f t="shared" si="22"/>
        <v>0</v>
      </c>
      <c r="L161" s="686"/>
      <c r="M161" s="542"/>
      <c r="N161" s="542"/>
      <c r="O161" s="542"/>
      <c r="P161" s="686"/>
      <c r="Q161" s="542"/>
      <c r="R161" s="542"/>
      <c r="S161" s="542"/>
    </row>
    <row r="162" spans="1:19" hidden="1">
      <c r="A162" s="704">
        <f t="shared" si="21"/>
        <v>9.8699999999999815</v>
      </c>
      <c r="B162" s="542"/>
      <c r="C162" s="686">
        <f t="shared" si="20"/>
        <v>0</v>
      </c>
      <c r="D162" s="686">
        <f t="shared" si="19"/>
        <v>0</v>
      </c>
      <c r="E162" s="686"/>
      <c r="F162" s="686"/>
      <c r="G162" s="686">
        <f t="shared" si="17"/>
        <v>0</v>
      </c>
      <c r="H162" s="686"/>
      <c r="I162" s="686">
        <f t="shared" si="22"/>
        <v>0</v>
      </c>
      <c r="J162" s="686">
        <f t="shared" si="22"/>
        <v>0</v>
      </c>
      <c r="K162" s="686">
        <f t="shared" si="22"/>
        <v>0</v>
      </c>
      <c r="L162" s="686"/>
      <c r="M162" s="542"/>
      <c r="N162" s="542"/>
      <c r="O162" s="542"/>
      <c r="P162" s="686"/>
      <c r="Q162" s="542"/>
      <c r="R162" s="542"/>
      <c r="S162" s="542"/>
    </row>
    <row r="163" spans="1:19" hidden="1">
      <c r="A163" s="704">
        <f t="shared" si="21"/>
        <v>9.8799999999999812</v>
      </c>
      <c r="B163" s="542"/>
      <c r="C163" s="686">
        <f t="shared" si="20"/>
        <v>0</v>
      </c>
      <c r="D163" s="686">
        <f t="shared" si="19"/>
        <v>0</v>
      </c>
      <c r="E163" s="686"/>
      <c r="F163" s="686"/>
      <c r="G163" s="686">
        <f t="shared" si="17"/>
        <v>0</v>
      </c>
      <c r="H163" s="686"/>
      <c r="I163" s="686">
        <f t="shared" si="22"/>
        <v>0</v>
      </c>
      <c r="J163" s="686">
        <f t="shared" si="22"/>
        <v>0</v>
      </c>
      <c r="K163" s="686">
        <f t="shared" si="22"/>
        <v>0</v>
      </c>
      <c r="L163" s="686"/>
      <c r="M163" s="542"/>
      <c r="N163" s="542"/>
      <c r="O163" s="542"/>
      <c r="P163" s="686"/>
      <c r="Q163" s="542"/>
      <c r="R163" s="542"/>
      <c r="S163" s="542"/>
    </row>
    <row r="164" spans="1:19" hidden="1">
      <c r="A164" s="704">
        <f t="shared" si="21"/>
        <v>9.889999999999981</v>
      </c>
      <c r="B164" s="542"/>
      <c r="C164" s="686">
        <f t="shared" si="20"/>
        <v>0</v>
      </c>
      <c r="D164" s="686">
        <f t="shared" si="19"/>
        <v>0</v>
      </c>
      <c r="E164" s="686"/>
      <c r="F164" s="686"/>
      <c r="G164" s="686">
        <f t="shared" si="17"/>
        <v>0</v>
      </c>
      <c r="H164" s="686"/>
      <c r="I164" s="686">
        <f t="shared" si="22"/>
        <v>0</v>
      </c>
      <c r="J164" s="686">
        <f t="shared" si="22"/>
        <v>0</v>
      </c>
      <c r="K164" s="686">
        <f t="shared" si="22"/>
        <v>0</v>
      </c>
      <c r="L164" s="686"/>
      <c r="M164" s="542"/>
      <c r="N164" s="542"/>
      <c r="O164" s="542"/>
      <c r="P164" s="686"/>
      <c r="Q164" s="542"/>
      <c r="R164" s="542"/>
      <c r="S164" s="542"/>
    </row>
    <row r="165" spans="1:19" hidden="1">
      <c r="A165" s="704">
        <f t="shared" si="21"/>
        <v>9.8999999999999808</v>
      </c>
      <c r="B165" s="542"/>
      <c r="C165" s="686">
        <f t="shared" si="20"/>
        <v>0</v>
      </c>
      <c r="D165" s="686">
        <f t="shared" si="19"/>
        <v>0</v>
      </c>
      <c r="E165" s="686"/>
      <c r="F165" s="686"/>
      <c r="G165" s="686">
        <f t="shared" si="17"/>
        <v>0</v>
      </c>
      <c r="H165" s="686"/>
      <c r="I165" s="686">
        <f t="shared" si="22"/>
        <v>0</v>
      </c>
      <c r="J165" s="686">
        <f t="shared" si="22"/>
        <v>0</v>
      </c>
      <c r="K165" s="686">
        <f t="shared" si="22"/>
        <v>0</v>
      </c>
      <c r="L165" s="686"/>
      <c r="M165" s="542"/>
      <c r="N165" s="542"/>
      <c r="O165" s="542"/>
      <c r="P165" s="686"/>
      <c r="Q165" s="542"/>
      <c r="R165" s="542"/>
      <c r="S165" s="542"/>
    </row>
    <row r="166" spans="1:19" hidden="1">
      <c r="A166" s="704">
        <f t="shared" si="21"/>
        <v>9.9099999999999806</v>
      </c>
      <c r="B166" s="542"/>
      <c r="C166" s="686">
        <f t="shared" si="20"/>
        <v>0</v>
      </c>
      <c r="D166" s="686">
        <f t="shared" si="19"/>
        <v>0</v>
      </c>
      <c r="E166" s="686"/>
      <c r="F166" s="686"/>
      <c r="G166" s="686">
        <f>ROUND(SUM(C166:F166)/2,0)</f>
        <v>0</v>
      </c>
      <c r="H166" s="686"/>
      <c r="I166" s="686">
        <f t="shared" si="22"/>
        <v>0</v>
      </c>
      <c r="J166" s="686">
        <f t="shared" si="22"/>
        <v>0</v>
      </c>
      <c r="K166" s="686">
        <f t="shared" si="22"/>
        <v>0</v>
      </c>
      <c r="L166" s="686"/>
      <c r="M166" s="542"/>
      <c r="N166" s="542"/>
      <c r="O166" s="542"/>
      <c r="P166" s="686"/>
      <c r="Q166" s="542"/>
      <c r="R166" s="542"/>
      <c r="S166" s="542"/>
    </row>
    <row r="167" spans="1:19" hidden="1">
      <c r="A167" s="704">
        <f t="shared" si="21"/>
        <v>9.9199999999999804</v>
      </c>
      <c r="B167" s="542"/>
      <c r="C167" s="686">
        <f t="shared" si="20"/>
        <v>0</v>
      </c>
      <c r="D167" s="686">
        <f t="shared" si="19"/>
        <v>0</v>
      </c>
      <c r="E167" s="686"/>
      <c r="F167" s="686"/>
      <c r="G167" s="686">
        <f t="shared" si="17"/>
        <v>0</v>
      </c>
      <c r="H167" s="686"/>
      <c r="I167" s="686">
        <f t="shared" si="22"/>
        <v>0</v>
      </c>
      <c r="J167" s="686">
        <f t="shared" si="22"/>
        <v>0</v>
      </c>
      <c r="K167" s="686">
        <f t="shared" si="22"/>
        <v>0</v>
      </c>
      <c r="L167" s="686"/>
      <c r="M167" s="542"/>
      <c r="N167" s="542"/>
      <c r="O167" s="542"/>
      <c r="P167" s="686"/>
      <c r="Q167" s="542"/>
      <c r="R167" s="542"/>
      <c r="S167" s="542"/>
    </row>
    <row r="168" spans="1:19">
      <c r="A168" s="704">
        <f t="shared" si="21"/>
        <v>9.9299999999999802</v>
      </c>
      <c r="B168" s="542"/>
      <c r="C168" s="686">
        <f t="shared" si="20"/>
        <v>0</v>
      </c>
      <c r="D168" s="686">
        <f t="shared" si="19"/>
        <v>0</v>
      </c>
      <c r="E168" s="686"/>
      <c r="F168" s="686"/>
      <c r="G168" s="686">
        <f t="shared" si="17"/>
        <v>0</v>
      </c>
      <c r="H168" s="686"/>
      <c r="I168" s="686">
        <f t="shared" si="22"/>
        <v>0</v>
      </c>
      <c r="J168" s="686">
        <f t="shared" si="22"/>
        <v>0</v>
      </c>
      <c r="K168" s="686">
        <f t="shared" si="22"/>
        <v>0</v>
      </c>
      <c r="L168" s="686"/>
      <c r="M168" s="542"/>
      <c r="N168" s="542"/>
      <c r="O168" s="542"/>
      <c r="P168" s="686"/>
      <c r="Q168" s="542"/>
      <c r="R168" s="542"/>
      <c r="S168" s="542"/>
    </row>
    <row r="169" spans="1:19">
      <c r="A169" s="704">
        <f t="shared" si="21"/>
        <v>9.93999999999998</v>
      </c>
      <c r="B169" s="542"/>
      <c r="C169" s="542"/>
      <c r="D169" s="542"/>
      <c r="E169" s="686">
        <f t="shared" ref="E169:F174" si="23">-C169</f>
        <v>0</v>
      </c>
      <c r="F169" s="686">
        <f t="shared" si="23"/>
        <v>0</v>
      </c>
      <c r="G169" s="686">
        <f t="shared" si="17"/>
        <v>0</v>
      </c>
      <c r="H169" s="686"/>
      <c r="I169" s="686"/>
      <c r="J169" s="686"/>
      <c r="K169" s="686"/>
      <c r="L169" s="686"/>
      <c r="M169" s="686"/>
      <c r="N169" s="686"/>
      <c r="O169" s="686"/>
      <c r="P169" s="686"/>
      <c r="Q169" s="686"/>
      <c r="R169" s="686"/>
      <c r="S169" s="686"/>
    </row>
    <row r="170" spans="1:19">
      <c r="A170" s="704">
        <f t="shared" si="21"/>
        <v>9.9499999999999797</v>
      </c>
      <c r="B170" s="542"/>
      <c r="C170" s="542"/>
      <c r="D170" s="542"/>
      <c r="E170" s="686">
        <f t="shared" si="23"/>
        <v>0</v>
      </c>
      <c r="F170" s="686">
        <f t="shared" si="23"/>
        <v>0</v>
      </c>
      <c r="G170" s="686">
        <f t="shared" si="17"/>
        <v>0</v>
      </c>
      <c r="H170" s="686"/>
      <c r="I170" s="686"/>
      <c r="J170" s="686"/>
      <c r="K170" s="686"/>
      <c r="L170" s="686"/>
      <c r="M170" s="686"/>
      <c r="N170" s="686"/>
      <c r="O170" s="686"/>
      <c r="P170" s="686"/>
      <c r="Q170" s="686"/>
      <c r="R170" s="686"/>
      <c r="S170" s="686"/>
    </row>
    <row r="171" spans="1:19">
      <c r="A171" s="704">
        <f t="shared" si="21"/>
        <v>9.9599999999999795</v>
      </c>
      <c r="B171" s="542"/>
      <c r="C171" s="542"/>
      <c r="D171" s="542"/>
      <c r="E171" s="686">
        <f t="shared" si="23"/>
        <v>0</v>
      </c>
      <c r="F171" s="686">
        <f t="shared" si="23"/>
        <v>0</v>
      </c>
      <c r="G171" s="686">
        <f t="shared" si="17"/>
        <v>0</v>
      </c>
      <c r="H171" s="686"/>
      <c r="I171" s="686"/>
      <c r="J171" s="686"/>
      <c r="K171" s="686"/>
      <c r="L171" s="686"/>
      <c r="M171" s="686"/>
      <c r="N171" s="686"/>
      <c r="O171" s="686"/>
      <c r="P171" s="686"/>
      <c r="Q171" s="686"/>
      <c r="R171" s="686"/>
      <c r="S171" s="686"/>
    </row>
    <row r="172" spans="1:19">
      <c r="A172" s="704">
        <f t="shared" si="21"/>
        <v>9.9699999999999793</v>
      </c>
      <c r="B172" s="542"/>
      <c r="C172" s="542"/>
      <c r="D172" s="542"/>
      <c r="E172" s="686">
        <f>-C172</f>
        <v>0</v>
      </c>
      <c r="F172" s="686">
        <f>-D172</f>
        <v>0</v>
      </c>
      <c r="G172" s="686">
        <f t="shared" si="17"/>
        <v>0</v>
      </c>
      <c r="H172" s="686"/>
      <c r="I172" s="686"/>
      <c r="J172" s="686"/>
      <c r="K172" s="686"/>
      <c r="L172" s="686"/>
      <c r="M172" s="686"/>
      <c r="N172" s="686"/>
      <c r="O172" s="686"/>
      <c r="P172" s="686"/>
      <c r="Q172" s="686"/>
      <c r="R172" s="686"/>
      <c r="S172" s="686"/>
    </row>
    <row r="173" spans="1:19">
      <c r="A173" s="704">
        <f t="shared" si="21"/>
        <v>9.9799999999999791</v>
      </c>
      <c r="B173" s="542"/>
      <c r="C173" s="542"/>
      <c r="D173" s="542"/>
      <c r="E173" s="686">
        <f>-C173</f>
        <v>0</v>
      </c>
      <c r="F173" s="686">
        <f>-D173</f>
        <v>0</v>
      </c>
      <c r="G173" s="686">
        <f t="shared" si="17"/>
        <v>0</v>
      </c>
      <c r="H173" s="686"/>
      <c r="I173" s="686"/>
      <c r="J173" s="686"/>
      <c r="K173" s="686"/>
      <c r="L173" s="686"/>
      <c r="M173" s="686"/>
      <c r="N173" s="686"/>
      <c r="O173" s="686"/>
      <c r="P173" s="686"/>
      <c r="Q173" s="686"/>
      <c r="R173" s="686"/>
      <c r="S173" s="686"/>
    </row>
    <row r="174" spans="1:19">
      <c r="A174" s="704">
        <f t="shared" si="21"/>
        <v>9.9899999999999789</v>
      </c>
      <c r="B174" s="542"/>
      <c r="C174" s="542"/>
      <c r="D174" s="542"/>
      <c r="E174" s="686">
        <f t="shared" si="23"/>
        <v>0</v>
      </c>
      <c r="F174" s="686">
        <f t="shared" si="23"/>
        <v>0</v>
      </c>
      <c r="G174" s="686">
        <f t="shared" si="17"/>
        <v>0</v>
      </c>
      <c r="H174" s="686"/>
      <c r="I174" s="686"/>
      <c r="J174" s="686"/>
      <c r="K174" s="686"/>
      <c r="L174" s="686"/>
      <c r="M174" s="686"/>
      <c r="N174" s="686"/>
      <c r="O174" s="686"/>
      <c r="P174" s="686"/>
      <c r="Q174" s="686"/>
      <c r="R174" s="686"/>
      <c r="S174" s="686"/>
    </row>
    <row r="175" spans="1:19">
      <c r="A175" s="695"/>
      <c r="B175" s="679"/>
      <c r="C175" s="686"/>
      <c r="D175" s="686"/>
      <c r="E175" s="686"/>
      <c r="F175" s="686"/>
      <c r="G175" s="686"/>
      <c r="H175" s="686"/>
      <c r="I175" s="686"/>
      <c r="J175" s="686"/>
      <c r="K175" s="686"/>
      <c r="L175" s="686"/>
      <c r="M175" s="686"/>
      <c r="N175" s="686"/>
      <c r="O175" s="686"/>
      <c r="P175" s="686"/>
      <c r="Q175" s="686"/>
      <c r="R175" s="686"/>
      <c r="S175" s="686"/>
    </row>
    <row r="176" spans="1:19">
      <c r="A176" s="695"/>
      <c r="B176" s="679"/>
      <c r="C176" s="686"/>
      <c r="D176" s="686"/>
      <c r="E176" s="686"/>
      <c r="F176" s="686"/>
      <c r="G176" s="686"/>
      <c r="H176" s="686"/>
      <c r="I176" s="686"/>
      <c r="J176" s="686"/>
      <c r="K176" s="686"/>
      <c r="L176" s="686"/>
      <c r="M176" s="686"/>
      <c r="N176" s="686"/>
      <c r="O176" s="686"/>
      <c r="P176" s="686"/>
      <c r="Q176" s="686"/>
      <c r="R176" s="686"/>
      <c r="S176" s="686"/>
    </row>
    <row r="177" spans="1:19" ht="13.5" thickBot="1">
      <c r="A177" s="695">
        <v>10</v>
      </c>
      <c r="C177" s="689">
        <f>SUM(C76:C176)</f>
        <v>0</v>
      </c>
      <c r="D177" s="689">
        <f>SUM(D76:D176)</f>
        <v>0</v>
      </c>
      <c r="E177" s="689">
        <f>SUM(E76:E176)</f>
        <v>0</v>
      </c>
      <c r="F177" s="689">
        <f>SUM(F76:F176)</f>
        <v>0</v>
      </c>
      <c r="G177" s="689">
        <f>SUM(G76:G176)</f>
        <v>0</v>
      </c>
      <c r="H177" s="692"/>
      <c r="I177" s="689">
        <f>SUM(I76:I176)</f>
        <v>0</v>
      </c>
      <c r="J177" s="689">
        <f>SUM(J76:J176)</f>
        <v>0</v>
      </c>
      <c r="K177" s="689">
        <f>SUM(K76:K176)</f>
        <v>0</v>
      </c>
      <c r="L177" s="692"/>
      <c r="M177" s="689">
        <f>SUM(M76:M176)</f>
        <v>0</v>
      </c>
      <c r="N177" s="689">
        <f>SUM(N76:N176)</f>
        <v>0</v>
      </c>
      <c r="O177" s="689">
        <f>SUM(O76:O176)</f>
        <v>0</v>
      </c>
      <c r="P177" s="692"/>
      <c r="Q177" s="689">
        <f>SUM(Q76:Q176)</f>
        <v>0</v>
      </c>
      <c r="R177" s="689">
        <f>SUM(R76:R176)</f>
        <v>0</v>
      </c>
      <c r="S177" s="689">
        <f>SUM(S76:S176)</f>
        <v>0</v>
      </c>
    </row>
    <row r="178" spans="1:19" ht="13.5" thickTop="1">
      <c r="A178" s="695"/>
      <c r="B178" s="679"/>
      <c r="C178" s="690"/>
      <c r="D178" s="690"/>
      <c r="E178" s="690"/>
      <c r="F178" s="690"/>
      <c r="G178" s="690"/>
      <c r="H178" s="686"/>
      <c r="I178" s="690"/>
      <c r="J178" s="690"/>
      <c r="K178" s="690"/>
      <c r="L178" s="686"/>
      <c r="M178" s="690"/>
      <c r="N178" s="690"/>
      <c r="O178" s="690"/>
      <c r="P178" s="686"/>
      <c r="Q178" s="690"/>
      <c r="R178" s="690"/>
      <c r="S178" s="690"/>
    </row>
    <row r="179" spans="1:19">
      <c r="A179" s="695"/>
      <c r="B179" s="679"/>
      <c r="C179" s="686"/>
      <c r="D179" s="686"/>
      <c r="E179" s="686"/>
      <c r="F179" s="686"/>
      <c r="G179" s="686"/>
      <c r="H179" s="686"/>
      <c r="I179" s="686"/>
      <c r="J179" s="686"/>
      <c r="K179" s="686"/>
      <c r="L179" s="686"/>
      <c r="M179" s="686"/>
      <c r="N179" s="686"/>
      <c r="O179" s="686"/>
      <c r="P179" s="686"/>
      <c r="Q179" s="686"/>
      <c r="R179" s="686"/>
      <c r="S179" s="686"/>
    </row>
    <row r="180" spans="1:19">
      <c r="A180" s="695">
        <f>+A177+1</f>
        <v>11</v>
      </c>
      <c r="B180" t="s">
        <v>727</v>
      </c>
      <c r="C180" s="686">
        <f>SUM(M180:O180)</f>
        <v>0</v>
      </c>
      <c r="D180" s="686">
        <f>SUM(Q180:S180)</f>
        <v>0</v>
      </c>
      <c r="E180" s="686"/>
      <c r="F180" s="686"/>
      <c r="G180" s="686">
        <f>ROUND(SUM(C180:F180)/2,0)</f>
        <v>0</v>
      </c>
      <c r="H180" s="686"/>
      <c r="I180" s="686">
        <f>(M180+Q180)/2</f>
        <v>0</v>
      </c>
      <c r="J180" s="686">
        <f>(N180+R180)/2</f>
        <v>0</v>
      </c>
      <c r="K180" s="686">
        <f>(O180+S180)/2</f>
        <v>0</v>
      </c>
      <c r="L180" s="686"/>
      <c r="M180" s="542"/>
      <c r="N180" s="542"/>
      <c r="O180" s="542"/>
      <c r="P180" s="686"/>
      <c r="Q180" s="542"/>
      <c r="R180" s="542"/>
      <c r="S180" s="542"/>
    </row>
    <row r="181" spans="1:19">
      <c r="A181" s="704">
        <f>A180+0.01</f>
        <v>11.01</v>
      </c>
      <c r="B181" s="542"/>
      <c r="C181" s="542"/>
      <c r="D181" s="542"/>
      <c r="E181" s="686">
        <f>-C181</f>
        <v>0</v>
      </c>
      <c r="F181" s="686">
        <f>-D181</f>
        <v>0</v>
      </c>
      <c r="G181" s="686">
        <f>ROUND(SUM(C181:F181)/2,0)</f>
        <v>0</v>
      </c>
      <c r="H181" s="686"/>
      <c r="I181" s="686"/>
      <c r="J181" s="686"/>
      <c r="K181" s="686"/>
      <c r="L181" s="686"/>
      <c r="M181" s="686"/>
      <c r="N181" s="686"/>
      <c r="O181" s="686"/>
      <c r="P181" s="686"/>
      <c r="Q181" s="686"/>
      <c r="R181" s="686"/>
      <c r="S181" s="686"/>
    </row>
    <row r="182" spans="1:19">
      <c r="A182" s="695"/>
      <c r="B182" s="679"/>
      <c r="C182" s="686"/>
      <c r="D182" s="686"/>
      <c r="E182" s="686"/>
      <c r="F182" s="686"/>
      <c r="G182" s="686"/>
      <c r="H182" s="686"/>
      <c r="I182" s="686"/>
      <c r="J182" s="686"/>
      <c r="K182" s="686"/>
      <c r="L182" s="686"/>
      <c r="M182" s="686"/>
      <c r="N182" s="686"/>
      <c r="O182" s="686"/>
      <c r="P182" s="686"/>
      <c r="Q182" s="686"/>
      <c r="R182" s="686"/>
      <c r="S182" s="686"/>
    </row>
    <row r="183" spans="1:19" ht="13.5" thickBot="1">
      <c r="A183" s="695">
        <f>+A180+1</f>
        <v>12</v>
      </c>
      <c r="B183" s="4" t="s">
        <v>728</v>
      </c>
      <c r="C183" s="689">
        <f>SUM(C177:C182)</f>
        <v>0</v>
      </c>
      <c r="D183" s="689">
        <f>SUM(D177:D182)</f>
        <v>0</v>
      </c>
      <c r="E183" s="689">
        <f>SUM(E177:E182)</f>
        <v>0</v>
      </c>
      <c r="F183" s="689">
        <f>SUM(F177:F182)</f>
        <v>0</v>
      </c>
      <c r="G183" s="689">
        <f>SUM(G177:G182)</f>
        <v>0</v>
      </c>
      <c r="H183" s="686"/>
      <c r="I183" s="689">
        <f>SUM(I177:I182)</f>
        <v>0</v>
      </c>
      <c r="J183" s="689">
        <f>SUM(J177:J182)</f>
        <v>0</v>
      </c>
      <c r="K183" s="689">
        <f>SUM(K177:K182)</f>
        <v>0</v>
      </c>
      <c r="L183" s="686"/>
      <c r="M183" s="693">
        <f>SUM(M177:M182)</f>
        <v>0</v>
      </c>
      <c r="N183" s="693">
        <f>SUM(N177:N182)</f>
        <v>0</v>
      </c>
      <c r="O183" s="693">
        <f>SUM(O177:O182)</f>
        <v>0</v>
      </c>
      <c r="P183" s="686"/>
      <c r="Q183" s="689">
        <f>SUM(Q177:Q182)</f>
        <v>0</v>
      </c>
      <c r="R183" s="689">
        <f>SUM(R177:R182)</f>
        <v>0</v>
      </c>
      <c r="S183" s="689">
        <f>SUM(S177:S182)</f>
        <v>0</v>
      </c>
    </row>
    <row r="184" spans="1:19" ht="13.5" thickTop="1">
      <c r="A184" s="695">
        <f>A183+1</f>
        <v>13</v>
      </c>
      <c r="B184" s="15" t="s">
        <v>739</v>
      </c>
      <c r="C184" s="690">
        <f>C106+C139</f>
        <v>0</v>
      </c>
      <c r="D184" s="690">
        <f>D106+D139</f>
        <v>0</v>
      </c>
      <c r="E184" s="690">
        <f>E106+E139</f>
        <v>0</v>
      </c>
      <c r="F184" s="690">
        <f>F106+F139</f>
        <v>0</v>
      </c>
      <c r="G184" s="690">
        <f>G106+G139</f>
        <v>0</v>
      </c>
      <c r="H184" s="686"/>
      <c r="I184" s="690">
        <f>I106+I139</f>
        <v>0</v>
      </c>
      <c r="J184" s="690">
        <f>J106+J139</f>
        <v>0</v>
      </c>
      <c r="K184" s="690">
        <f>K106+K139</f>
        <v>0</v>
      </c>
      <c r="L184" s="686"/>
      <c r="M184" s="690">
        <f>M106+M139</f>
        <v>0</v>
      </c>
      <c r="N184" s="690">
        <f>N106+N139</f>
        <v>0</v>
      </c>
      <c r="O184" s="690">
        <f>O106+O139</f>
        <v>0</v>
      </c>
      <c r="P184" s="686"/>
      <c r="Q184" s="690">
        <f>Q106+Q139</f>
        <v>0</v>
      </c>
      <c r="R184" s="690">
        <f>R106+R139</f>
        <v>0</v>
      </c>
      <c r="S184" s="690">
        <f>S106+S139</f>
        <v>0</v>
      </c>
    </row>
    <row r="185" spans="1:19">
      <c r="A185" s="695"/>
      <c r="B185" s="679"/>
      <c r="C185" s="686"/>
      <c r="D185" s="686"/>
      <c r="E185" s="686"/>
      <c r="F185" s="686"/>
      <c r="G185" s="686"/>
      <c r="H185" s="686"/>
      <c r="I185" s="686"/>
      <c r="J185" s="686"/>
      <c r="K185" s="686"/>
      <c r="L185" s="686"/>
      <c r="M185" s="686"/>
      <c r="N185" s="686"/>
      <c r="O185" s="686"/>
      <c r="P185" s="686"/>
      <c r="Q185" s="686"/>
      <c r="R185" s="686"/>
      <c r="S185" s="686"/>
    </row>
    <row r="186" spans="1:19">
      <c r="A186" s="695">
        <f>+A184+1</f>
        <v>14</v>
      </c>
      <c r="B186" t="s">
        <v>729</v>
      </c>
      <c r="C186" s="686"/>
      <c r="D186" s="686"/>
      <c r="E186" s="686"/>
      <c r="F186" s="686"/>
      <c r="G186" s="686"/>
      <c r="H186" s="686"/>
      <c r="I186" s="686"/>
      <c r="J186" s="686"/>
      <c r="K186" s="686"/>
      <c r="L186" s="686"/>
      <c r="M186" s="686"/>
      <c r="N186" s="686"/>
      <c r="O186" s="686"/>
      <c r="P186" s="686"/>
      <c r="Q186" s="686"/>
      <c r="R186" s="686"/>
      <c r="S186" s="686"/>
    </row>
    <row r="187" spans="1:19">
      <c r="A187" s="695"/>
      <c r="B187" s="679"/>
      <c r="C187" s="686"/>
      <c r="D187" s="686"/>
      <c r="E187" s="686"/>
      <c r="F187" s="686"/>
      <c r="G187" s="686"/>
      <c r="H187" s="686"/>
      <c r="I187" s="686"/>
      <c r="J187" s="686"/>
      <c r="K187" s="686"/>
      <c r="L187" s="686"/>
      <c r="M187" s="686"/>
      <c r="N187" s="686"/>
      <c r="O187" s="686"/>
      <c r="P187" s="686"/>
      <c r="Q187" s="686"/>
      <c r="R187" s="686"/>
      <c r="S187" s="686"/>
    </row>
    <row r="188" spans="1:19">
      <c r="A188" s="695">
        <f>+A186+1</f>
        <v>15</v>
      </c>
      <c r="B188" t="s">
        <v>730</v>
      </c>
      <c r="C188" s="686"/>
      <c r="D188" s="686"/>
      <c r="E188" s="686"/>
      <c r="F188" s="686"/>
      <c r="G188" s="686"/>
      <c r="H188" s="686"/>
      <c r="I188" s="686"/>
      <c r="J188" s="686"/>
      <c r="K188" s="686"/>
      <c r="L188" s="686"/>
      <c r="M188" s="686"/>
      <c r="N188" s="686"/>
      <c r="O188" s="686"/>
      <c r="P188" s="686"/>
      <c r="Q188" s="686"/>
      <c r="R188" s="686"/>
      <c r="S188" s="686"/>
    </row>
    <row r="189" spans="1:19">
      <c r="A189" s="695"/>
      <c r="B189" s="679"/>
      <c r="C189" s="686"/>
      <c r="D189" s="692"/>
      <c r="E189" s="692"/>
      <c r="F189" s="692"/>
      <c r="G189" s="692"/>
      <c r="H189" s="692"/>
      <c r="I189" s="692"/>
      <c r="J189" s="692"/>
      <c r="K189" s="692"/>
      <c r="L189" s="692"/>
      <c r="M189" s="686"/>
      <c r="N189" s="686"/>
      <c r="O189" s="686"/>
      <c r="P189" s="686"/>
      <c r="Q189" s="686"/>
      <c r="R189" s="686"/>
      <c r="S189" s="686"/>
    </row>
    <row r="190" spans="1:19">
      <c r="A190" s="695">
        <f>+A188+1</f>
        <v>16</v>
      </c>
      <c r="B190" t="s">
        <v>731</v>
      </c>
      <c r="C190" s="686"/>
      <c r="D190" s="692"/>
      <c r="E190" s="692"/>
      <c r="F190" s="692"/>
      <c r="G190" s="692"/>
      <c r="H190" s="692"/>
      <c r="I190" s="692"/>
      <c r="J190" s="692"/>
      <c r="K190" s="692"/>
      <c r="L190" s="692"/>
      <c r="M190" s="686"/>
      <c r="N190" s="686"/>
      <c r="O190" s="686"/>
      <c r="P190" s="686"/>
      <c r="Q190" s="686"/>
      <c r="R190" s="686"/>
      <c r="S190" s="686"/>
    </row>
    <row r="191" spans="1:19">
      <c r="A191" s="695"/>
      <c r="B191" s="679"/>
      <c r="C191" s="686"/>
      <c r="D191" s="686"/>
      <c r="E191" s="686"/>
      <c r="F191" s="686"/>
      <c r="G191" s="686"/>
      <c r="H191" s="686"/>
      <c r="I191" s="686"/>
      <c r="J191" s="686"/>
      <c r="K191" s="686"/>
      <c r="L191" s="686"/>
      <c r="M191" s="686"/>
      <c r="N191" s="686"/>
      <c r="O191" s="686"/>
      <c r="P191" s="686"/>
      <c r="Q191" s="686"/>
      <c r="R191" s="686"/>
      <c r="S191" s="686"/>
    </row>
    <row r="192" spans="1:19">
      <c r="A192" s="695">
        <f>+A190+1</f>
        <v>17</v>
      </c>
      <c r="B192" t="s">
        <v>732</v>
      </c>
      <c r="C192" s="686"/>
      <c r="D192" s="686"/>
      <c r="E192" s="686"/>
      <c r="F192" s="686"/>
      <c r="G192" s="686"/>
      <c r="H192" s="686"/>
      <c r="I192" s="686"/>
      <c r="J192" s="686"/>
      <c r="K192" s="686"/>
      <c r="L192" s="686"/>
      <c r="M192" s="686"/>
      <c r="N192" s="686"/>
      <c r="O192" s="686"/>
      <c r="P192" s="686"/>
      <c r="Q192" s="686"/>
      <c r="R192" s="686"/>
      <c r="S192" s="686"/>
    </row>
    <row r="193" spans="1:19">
      <c r="A193" s="695">
        <f>A192+1</f>
        <v>18</v>
      </c>
      <c r="B193" t="s">
        <v>733</v>
      </c>
      <c r="C193" s="686"/>
      <c r="D193" s="686"/>
      <c r="E193" s="686"/>
      <c r="F193" s="686"/>
      <c r="G193" s="686"/>
      <c r="H193" s="686"/>
      <c r="I193" s="686"/>
      <c r="J193" s="686"/>
      <c r="K193" s="686"/>
      <c r="L193" s="686"/>
      <c r="M193" s="686"/>
      <c r="N193" s="686"/>
      <c r="O193" s="686"/>
      <c r="P193" s="686"/>
      <c r="Q193" s="542"/>
      <c r="R193" s="686"/>
      <c r="S193" s="686"/>
    </row>
    <row r="194" spans="1:19">
      <c r="A194" s="704">
        <f>A193+0.01</f>
        <v>18.010000000000002</v>
      </c>
      <c r="B194" s="542"/>
      <c r="C194" s="686">
        <f>SUM(M194:O194)</f>
        <v>0</v>
      </c>
      <c r="D194" s="686">
        <f>SUM(Q194:S194)</f>
        <v>0</v>
      </c>
      <c r="E194" s="686"/>
      <c r="F194" s="686"/>
      <c r="G194" s="686">
        <f>ROUND(SUM(C194:F194)/2,0)</f>
        <v>0</v>
      </c>
      <c r="H194" s="686"/>
      <c r="I194" s="686">
        <f t="shared" ref="I194:K195" si="24">(M194+Q194)/2</f>
        <v>0</v>
      </c>
      <c r="J194" s="686">
        <f t="shared" si="24"/>
        <v>0</v>
      </c>
      <c r="K194" s="686">
        <f t="shared" si="24"/>
        <v>0</v>
      </c>
      <c r="L194" s="686"/>
      <c r="M194" s="542"/>
      <c r="N194" s="542"/>
      <c r="O194" s="542"/>
      <c r="P194" s="686"/>
      <c r="Q194" s="542"/>
      <c r="R194" s="542"/>
      <c r="S194" s="542"/>
    </row>
    <row r="195" spans="1:19">
      <c r="A195" s="704">
        <f>A194+0.01</f>
        <v>18.020000000000003</v>
      </c>
      <c r="B195" s="542"/>
      <c r="C195" s="686">
        <f>SUM(M195:O195)</f>
        <v>0</v>
      </c>
      <c r="D195" s="686">
        <f>SUM(Q195:S195)</f>
        <v>0</v>
      </c>
      <c r="E195" s="686"/>
      <c r="F195" s="686"/>
      <c r="G195" s="686">
        <f>ROUND(SUM(C195:F195)/2,0)</f>
        <v>0</v>
      </c>
      <c r="H195" s="686"/>
      <c r="I195" s="686">
        <f t="shared" si="24"/>
        <v>0</v>
      </c>
      <c r="J195" s="686">
        <f t="shared" si="24"/>
        <v>0</v>
      </c>
      <c r="K195" s="686">
        <f t="shared" si="24"/>
        <v>0</v>
      </c>
      <c r="L195" s="686"/>
      <c r="M195" s="542"/>
      <c r="N195" s="542"/>
      <c r="O195" s="542"/>
      <c r="P195" s="686"/>
      <c r="Q195" s="542"/>
      <c r="R195" s="542"/>
      <c r="S195" s="542"/>
    </row>
    <row r="196" spans="1:19">
      <c r="A196" s="695">
        <f>INT(A195)+1</f>
        <v>19</v>
      </c>
      <c r="C196" s="686"/>
      <c r="D196" s="686"/>
      <c r="E196" s="686"/>
      <c r="F196" s="686"/>
      <c r="G196" s="686"/>
      <c r="H196" s="686"/>
      <c r="I196" s="686"/>
      <c r="J196" s="686"/>
      <c r="K196" s="686"/>
      <c r="L196" s="686"/>
      <c r="M196" s="686"/>
      <c r="N196" s="686"/>
      <c r="O196" s="686"/>
      <c r="P196" s="686"/>
      <c r="Q196" s="686"/>
      <c r="R196" s="686"/>
      <c r="S196" s="686"/>
    </row>
    <row r="197" spans="1:19">
      <c r="A197" s="695">
        <f>A196+1</f>
        <v>20</v>
      </c>
      <c r="B197" t="s">
        <v>734</v>
      </c>
      <c r="C197" s="689">
        <f>SUM(C194:C196)</f>
        <v>0</v>
      </c>
      <c r="D197" s="689">
        <f>SUM(D194:D196)</f>
        <v>0</v>
      </c>
      <c r="E197" s="689">
        <f>SUM(E194:E196)</f>
        <v>0</v>
      </c>
      <c r="F197" s="689">
        <f>SUM(F194:F196)</f>
        <v>0</v>
      </c>
      <c r="G197" s="689">
        <f>SUM(G194:G196)</f>
        <v>0</v>
      </c>
      <c r="H197" s="686"/>
      <c r="I197" s="689">
        <f>SUM(I194:I196)</f>
        <v>0</v>
      </c>
      <c r="J197" s="689">
        <f>SUM(J194:J196)</f>
        <v>0</v>
      </c>
      <c r="K197" s="689">
        <f>SUM(K194:K196)</f>
        <v>0</v>
      </c>
      <c r="L197" s="686"/>
      <c r="M197" s="689">
        <f>SUM(M194:M196)</f>
        <v>0</v>
      </c>
      <c r="N197" s="689">
        <f>SUM(N194:N196)</f>
        <v>0</v>
      </c>
      <c r="O197" s="689">
        <f>SUM(O194:O196)</f>
        <v>0</v>
      </c>
      <c r="P197" s="686"/>
      <c r="Q197" s="689">
        <f>SUM(Q194:Q196)</f>
        <v>0</v>
      </c>
      <c r="R197" s="689">
        <f>SUM(R194:R196)</f>
        <v>0</v>
      </c>
      <c r="S197" s="689">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S110"/>
  <sheetViews>
    <sheetView view="pageBreakPreview" zoomScale="60" zoomScaleNormal="100" workbookViewId="0">
      <selection activeCell="F4" sqref="A4:F5"/>
    </sheetView>
  </sheetViews>
  <sheetFormatPr defaultRowHeight="12.75" customHeight="1"/>
  <cols>
    <col min="1" max="1" width="6" customWidth="1"/>
    <col min="2" max="2" width="54.5703125" bestFit="1" customWidth="1"/>
    <col min="3" max="3" width="13.42578125" bestFit="1" customWidth="1"/>
    <col min="4" max="4" width="12.85546875" bestFit="1" customWidth="1"/>
    <col min="5" max="6" width="17" customWidth="1"/>
    <col min="7" max="7" width="15.28515625" bestFit="1" customWidth="1"/>
    <col min="8" max="8" width="2.5703125" customWidth="1"/>
    <col min="9" max="9" width="13.140625" bestFit="1" customWidth="1"/>
    <col min="10" max="10" width="15" bestFit="1" customWidth="1"/>
    <col min="11" max="11" width="13.5703125" bestFit="1" customWidth="1"/>
    <col min="12" max="12" width="2.85546875" customWidth="1"/>
    <col min="13" max="13" width="13.140625" bestFit="1" customWidth="1"/>
    <col min="14" max="14" width="15" bestFit="1" customWidth="1"/>
    <col min="15" max="15" width="13.5703125" bestFit="1" customWidth="1"/>
    <col min="16" max="16" width="2.85546875" customWidth="1"/>
    <col min="17" max="17" width="13.140625" bestFit="1" customWidth="1"/>
    <col min="18" max="18" width="15" bestFit="1" customWidth="1"/>
    <col min="19" max="19" width="13.5703125" bestFit="1" customWidth="1"/>
  </cols>
  <sheetData>
    <row r="1" spans="1:19">
      <c r="A1" s="696"/>
      <c r="B1" s="735" t="str">
        <f>TCOS!F9</f>
        <v>Appalachian Power Company</v>
      </c>
      <c r="C1" s="679"/>
      <c r="D1" s="679"/>
      <c r="E1" s="679"/>
      <c r="F1" s="679"/>
      <c r="M1" s="679"/>
      <c r="N1" s="679"/>
      <c r="P1" s="679"/>
      <c r="Q1" s="679"/>
      <c r="R1" s="679"/>
    </row>
    <row r="2" spans="1:19">
      <c r="A2" s="696"/>
      <c r="B2" s="142" t="s">
        <v>816</v>
      </c>
      <c r="C2" s="679"/>
      <c r="D2" s="679"/>
      <c r="E2" s="679"/>
      <c r="F2" s="679"/>
      <c r="M2" s="679"/>
      <c r="N2" s="679"/>
      <c r="P2" s="679"/>
      <c r="Q2" s="679"/>
      <c r="R2" s="679"/>
    </row>
    <row r="3" spans="1:19">
      <c r="A3" s="696"/>
      <c r="B3" s="142" t="str">
        <f>"PERIOD ENDED DECEMBER 31, "&amp;TCOS!L4</f>
        <v>PERIOD ENDED DECEMBER 31, 2026</v>
      </c>
      <c r="C3" s="679"/>
      <c r="D3" s="679"/>
      <c r="E3" s="679"/>
      <c r="F3" s="679"/>
      <c r="G3" s="679"/>
      <c r="H3" s="679"/>
      <c r="I3" s="679"/>
      <c r="J3" s="679"/>
      <c r="K3" s="679"/>
      <c r="L3" s="679"/>
      <c r="M3" s="679"/>
      <c r="N3" s="679"/>
      <c r="O3" s="679"/>
      <c r="P3" s="679"/>
      <c r="Q3" s="679"/>
      <c r="R3" s="679"/>
      <c r="S3" s="679"/>
    </row>
    <row r="4" spans="1:19">
      <c r="A4" s="696"/>
      <c r="B4" s="685"/>
      <c r="C4" s="679"/>
      <c r="D4" s="679"/>
      <c r="E4" s="679"/>
      <c r="F4" s="679"/>
      <c r="G4" s="1" t="s">
        <v>735</v>
      </c>
      <c r="H4" s="679"/>
      <c r="I4" s="679"/>
      <c r="J4" s="679"/>
      <c r="K4" s="679"/>
      <c r="L4" s="679"/>
      <c r="M4" s="679"/>
      <c r="N4" s="679"/>
      <c r="O4" s="679"/>
      <c r="P4" s="679"/>
      <c r="Q4" s="679"/>
      <c r="R4" s="679"/>
      <c r="S4" s="679"/>
    </row>
    <row r="5" spans="1:19">
      <c r="A5" s="696"/>
      <c r="B5" s="679"/>
      <c r="C5" s="679"/>
      <c r="D5" s="679"/>
      <c r="E5" s="679"/>
      <c r="F5" s="679"/>
      <c r="G5" s="679"/>
      <c r="H5" s="679"/>
      <c r="I5" s="679"/>
      <c r="J5" s="679"/>
      <c r="K5" s="679"/>
      <c r="L5" s="679"/>
      <c r="M5" s="679"/>
      <c r="N5" s="679"/>
      <c r="O5" s="679"/>
      <c r="P5" s="679"/>
      <c r="Q5" s="679"/>
      <c r="R5" s="679"/>
      <c r="S5" s="679"/>
    </row>
    <row r="6" spans="1:19">
      <c r="A6" s="696"/>
      <c r="B6" s="679"/>
      <c r="C6" s="679"/>
      <c r="D6" s="679"/>
      <c r="E6" s="679"/>
      <c r="F6" s="679"/>
      <c r="G6" s="679"/>
      <c r="H6" s="1"/>
      <c r="I6" s="1"/>
      <c r="J6" s="1"/>
      <c r="K6" s="1"/>
      <c r="L6" s="1"/>
      <c r="M6" s="679"/>
      <c r="N6" s="679"/>
      <c r="O6" s="679"/>
      <c r="P6" s="679"/>
      <c r="Q6" s="679"/>
      <c r="R6" s="679"/>
      <c r="S6" s="679"/>
    </row>
    <row r="7" spans="1:19">
      <c r="A7" s="696"/>
      <c r="B7" s="679"/>
      <c r="C7" s="679"/>
      <c r="D7" s="679"/>
      <c r="E7" s="679"/>
      <c r="F7" s="679"/>
      <c r="G7" s="679"/>
      <c r="H7" s="679"/>
      <c r="I7" s="679"/>
      <c r="J7" s="679"/>
      <c r="K7" s="679"/>
      <c r="L7" s="679"/>
      <c r="M7" s="679"/>
      <c r="N7" s="679"/>
      <c r="O7" s="679"/>
      <c r="P7" s="679"/>
      <c r="Q7" s="679"/>
      <c r="R7" s="679"/>
      <c r="S7" s="679"/>
    </row>
    <row r="8" spans="1:19">
      <c r="A8" s="696"/>
      <c r="B8" s="680" t="s">
        <v>695</v>
      </c>
      <c r="C8" s="680" t="s">
        <v>696</v>
      </c>
      <c r="D8" s="680" t="s">
        <v>697</v>
      </c>
      <c r="E8" s="680" t="s">
        <v>698</v>
      </c>
      <c r="F8" s="680" t="s">
        <v>699</v>
      </c>
      <c r="G8" s="680" t="s">
        <v>700</v>
      </c>
      <c r="H8" s="680"/>
      <c r="I8" s="680" t="s">
        <v>701</v>
      </c>
      <c r="J8" s="680" t="s">
        <v>702</v>
      </c>
      <c r="K8" s="680" t="s">
        <v>703</v>
      </c>
      <c r="L8" s="680"/>
      <c r="M8" s="680" t="s">
        <v>704</v>
      </c>
      <c r="N8" s="680" t="s">
        <v>705</v>
      </c>
      <c r="O8" s="680" t="s">
        <v>706</v>
      </c>
      <c r="P8" s="679"/>
      <c r="Q8" s="680" t="s">
        <v>707</v>
      </c>
      <c r="R8" s="680" t="s">
        <v>708</v>
      </c>
      <c r="S8" s="680" t="s">
        <v>709</v>
      </c>
    </row>
    <row r="9" spans="1:19">
      <c r="A9" s="696"/>
      <c r="B9" s="679"/>
      <c r="C9" s="679"/>
      <c r="D9" s="679"/>
      <c r="E9" s="679"/>
      <c r="F9" s="679"/>
      <c r="G9" s="679"/>
      <c r="H9" s="679"/>
      <c r="I9" s="679"/>
      <c r="J9" s="679"/>
      <c r="K9" s="679"/>
      <c r="L9" s="679"/>
      <c r="M9" s="679"/>
      <c r="N9" s="679"/>
      <c r="O9" s="679"/>
      <c r="P9" s="679"/>
      <c r="Q9" s="679"/>
      <c r="R9" s="679"/>
      <c r="S9" s="679"/>
    </row>
    <row r="10" spans="1:19">
      <c r="A10" s="696"/>
      <c r="B10" s="679"/>
      <c r="C10" s="681" t="s">
        <v>710</v>
      </c>
      <c r="D10" s="681"/>
      <c r="E10" s="682" t="s">
        <v>711</v>
      </c>
      <c r="F10" s="681"/>
      <c r="G10" s="1" t="s">
        <v>712</v>
      </c>
      <c r="H10" s="1"/>
      <c r="I10" s="681" t="s">
        <v>713</v>
      </c>
      <c r="J10" s="681"/>
      <c r="K10" s="681"/>
      <c r="L10" s="1"/>
      <c r="M10" s="683" t="str">
        <f>"FUNCTIONALIZATION 12/31/"&amp;TCOS!L4-1</f>
        <v>FUNCTIONALIZATION 12/31/2025</v>
      </c>
      <c r="N10" s="681"/>
      <c r="O10" s="681"/>
      <c r="P10" s="679"/>
      <c r="Q10" s="683" t="str">
        <f>"FUNCTIONALIZATION 12/31/"&amp;TCOS!L4</f>
        <v>FUNCTIONALIZATION 12/31/2026</v>
      </c>
      <c r="R10" s="681"/>
      <c r="S10" s="681"/>
    </row>
    <row r="11" spans="1:19">
      <c r="A11" s="696"/>
      <c r="B11" s="679"/>
      <c r="C11" s="684"/>
      <c r="D11" s="684"/>
      <c r="E11" s="679"/>
      <c r="F11" s="679"/>
      <c r="G11" s="1" t="s">
        <v>714</v>
      </c>
      <c r="H11" s="1"/>
      <c r="I11" s="684"/>
      <c r="J11" s="684"/>
      <c r="K11" s="684"/>
      <c r="L11" s="1"/>
      <c r="M11" s="684"/>
      <c r="N11" s="684"/>
      <c r="O11" s="684"/>
      <c r="P11" s="679"/>
      <c r="Q11" s="684"/>
      <c r="R11" s="684"/>
      <c r="S11" s="684"/>
    </row>
    <row r="12" spans="1:19">
      <c r="A12" s="696"/>
      <c r="B12" s="679"/>
      <c r="C12" s="1" t="s">
        <v>715</v>
      </c>
      <c r="D12" s="1" t="s">
        <v>715</v>
      </c>
      <c r="E12" s="1" t="s">
        <v>715</v>
      </c>
      <c r="F12" s="1" t="s">
        <v>715</v>
      </c>
      <c r="G12" s="1" t="s">
        <v>716</v>
      </c>
      <c r="H12" s="1"/>
      <c r="I12" s="679"/>
      <c r="J12" s="679"/>
      <c r="K12" s="679"/>
      <c r="L12" s="1"/>
      <c r="M12" s="679"/>
      <c r="N12" s="679"/>
      <c r="O12" s="679"/>
      <c r="P12" s="679"/>
      <c r="Q12" s="679"/>
      <c r="R12" s="679"/>
      <c r="S12" s="679"/>
    </row>
    <row r="13" spans="1:19">
      <c r="A13" s="696"/>
      <c r="B13" s="680" t="s">
        <v>717</v>
      </c>
      <c r="C13" s="680" t="str">
        <f>"OF 12-31-"&amp;TCOS!L4-1</f>
        <v>OF 12-31-2025</v>
      </c>
      <c r="D13" s="680" t="str">
        <f>"OF 12-31-"&amp;TCOS!L4</f>
        <v>OF 12-31-2026</v>
      </c>
      <c r="E13" s="680" t="str">
        <f>"OF 12-31-"&amp;TCOS!L4-1</f>
        <v>OF 12-31-2025</v>
      </c>
      <c r="F13" s="680" t="str">
        <f>"OF 12-31-"&amp;TCOS!L4</f>
        <v>OF 12-31-2026</v>
      </c>
      <c r="G13" s="680" t="s">
        <v>718</v>
      </c>
      <c r="H13" s="680"/>
      <c r="I13" s="680" t="s">
        <v>719</v>
      </c>
      <c r="J13" s="680" t="s">
        <v>720</v>
      </c>
      <c r="K13" s="680" t="s">
        <v>721</v>
      </c>
      <c r="L13" s="680"/>
      <c r="M13" s="680" t="s">
        <v>719</v>
      </c>
      <c r="N13" s="680" t="s">
        <v>720</v>
      </c>
      <c r="O13" s="680" t="s">
        <v>721</v>
      </c>
      <c r="P13" s="679"/>
      <c r="Q13" s="680" t="s">
        <v>719</v>
      </c>
      <c r="R13" s="680" t="s">
        <v>720</v>
      </c>
      <c r="S13" s="680" t="s">
        <v>721</v>
      </c>
    </row>
    <row r="14" spans="1:19">
      <c r="A14" s="696"/>
      <c r="B14" s="679"/>
      <c r="C14" s="679"/>
      <c r="D14" s="679"/>
      <c r="E14" s="679"/>
      <c r="F14" s="679"/>
      <c r="G14" s="679"/>
      <c r="H14" s="679"/>
      <c r="I14" s="679"/>
      <c r="J14" s="679"/>
      <c r="K14" s="679"/>
      <c r="L14" s="679"/>
      <c r="M14" s="679"/>
      <c r="N14" s="679"/>
      <c r="O14" s="679"/>
      <c r="P14" s="679"/>
      <c r="Q14" s="679"/>
      <c r="R14" s="679"/>
      <c r="S14" s="679"/>
    </row>
    <row r="15" spans="1:19">
      <c r="A15" s="535">
        <v>1</v>
      </c>
      <c r="B15" s="686" t="s">
        <v>736</v>
      </c>
      <c r="C15" s="686"/>
      <c r="D15" s="686"/>
      <c r="E15" s="686"/>
      <c r="F15" s="687"/>
      <c r="G15" s="686"/>
      <c r="H15" s="686"/>
      <c r="I15" s="686"/>
      <c r="J15" s="686"/>
      <c r="K15" s="686"/>
      <c r="L15" s="686"/>
      <c r="M15" s="686"/>
      <c r="N15" s="686"/>
      <c r="O15" s="686"/>
      <c r="P15" s="686"/>
      <c r="Q15" s="686"/>
      <c r="R15" s="686"/>
      <c r="S15" s="686"/>
    </row>
    <row r="16" spans="1:19">
      <c r="A16" s="535"/>
      <c r="B16" s="686"/>
      <c r="C16" s="686"/>
      <c r="D16" s="686"/>
      <c r="E16" s="686"/>
      <c r="F16" s="686"/>
      <c r="G16" s="686"/>
      <c r="H16" s="686"/>
      <c r="I16" s="686"/>
      <c r="J16" s="686"/>
      <c r="K16" s="686"/>
      <c r="L16" s="686"/>
      <c r="M16" s="686"/>
      <c r="N16" s="686"/>
      <c r="O16" s="686"/>
      <c r="P16" s="686"/>
      <c r="Q16" s="686"/>
      <c r="R16" s="686"/>
      <c r="S16" s="686"/>
    </row>
    <row r="17" spans="1:19">
      <c r="A17" s="704">
        <v>2.0099999999999998</v>
      </c>
      <c r="B17" s="542"/>
      <c r="C17" s="686">
        <f t="shared" ref="C17:C80" si="0">SUM(M17:O17)</f>
        <v>0</v>
      </c>
      <c r="D17" s="686">
        <f t="shared" ref="D17:D80" si="1">SUM(Q17:S17)</f>
        <v>0</v>
      </c>
      <c r="E17" s="686"/>
      <c r="F17" s="686"/>
      <c r="G17" s="686">
        <f t="shared" ref="G17:G80" si="2">ROUND(SUM(C17:F17)/2,0)</f>
        <v>0</v>
      </c>
      <c r="H17" s="686"/>
      <c r="I17" s="686">
        <f t="shared" ref="I17:K48" si="3">(M17+Q17)/2</f>
        <v>0</v>
      </c>
      <c r="J17" s="686">
        <f t="shared" si="3"/>
        <v>0</v>
      </c>
      <c r="K17" s="686">
        <f t="shared" si="3"/>
        <v>0</v>
      </c>
      <c r="L17" s="686"/>
      <c r="M17" s="542"/>
      <c r="N17" s="542"/>
      <c r="O17" s="542"/>
      <c r="P17" s="686"/>
      <c r="Q17" s="542"/>
      <c r="R17" s="542"/>
      <c r="S17" s="542"/>
    </row>
    <row r="18" spans="1:19">
      <c r="A18" s="704">
        <f>A17+0.01</f>
        <v>2.0199999999999996</v>
      </c>
      <c r="B18" s="542"/>
      <c r="C18" s="686">
        <f t="shared" si="0"/>
        <v>0</v>
      </c>
      <c r="D18" s="686">
        <f t="shared" si="1"/>
        <v>0</v>
      </c>
      <c r="E18" s="686"/>
      <c r="F18" s="686"/>
      <c r="G18" s="686">
        <f t="shared" si="2"/>
        <v>0</v>
      </c>
      <c r="H18" s="686"/>
      <c r="I18" s="686">
        <f t="shared" si="3"/>
        <v>0</v>
      </c>
      <c r="J18" s="686">
        <f t="shared" si="3"/>
        <v>0</v>
      </c>
      <c r="K18" s="686">
        <f t="shared" si="3"/>
        <v>0</v>
      </c>
      <c r="L18" s="686"/>
      <c r="M18" s="542"/>
      <c r="N18" s="542"/>
      <c r="O18" s="542"/>
      <c r="P18" s="686"/>
      <c r="Q18" s="542"/>
      <c r="R18" s="542"/>
      <c r="S18" s="542"/>
    </row>
    <row r="19" spans="1:19">
      <c r="A19" s="704">
        <f t="shared" ref="A19:A82" si="4">A18+0.01</f>
        <v>2.0299999999999994</v>
      </c>
      <c r="B19" s="542"/>
      <c r="C19" s="686">
        <f t="shared" si="0"/>
        <v>0</v>
      </c>
      <c r="D19" s="686">
        <f t="shared" si="1"/>
        <v>0</v>
      </c>
      <c r="E19" s="686"/>
      <c r="F19" s="686"/>
      <c r="G19" s="686">
        <f t="shared" si="2"/>
        <v>0</v>
      </c>
      <c r="H19" s="686"/>
      <c r="I19" s="686">
        <f t="shared" si="3"/>
        <v>0</v>
      </c>
      <c r="J19" s="686">
        <f t="shared" si="3"/>
        <v>0</v>
      </c>
      <c r="K19" s="686">
        <f t="shared" si="3"/>
        <v>0</v>
      </c>
      <c r="L19" s="686"/>
      <c r="M19" s="542"/>
      <c r="N19" s="542"/>
      <c r="O19" s="542"/>
      <c r="P19" s="686"/>
      <c r="Q19" s="542"/>
      <c r="R19" s="542"/>
      <c r="S19" s="542"/>
    </row>
    <row r="20" spans="1:19">
      <c r="A20" s="704">
        <f t="shared" si="4"/>
        <v>2.0399999999999991</v>
      </c>
      <c r="B20" s="542"/>
      <c r="C20" s="686">
        <f t="shared" si="0"/>
        <v>0</v>
      </c>
      <c r="D20" s="686">
        <f t="shared" si="1"/>
        <v>0</v>
      </c>
      <c r="E20" s="686"/>
      <c r="F20" s="686"/>
      <c r="G20" s="686">
        <f t="shared" si="2"/>
        <v>0</v>
      </c>
      <c r="H20" s="686"/>
      <c r="I20" s="686">
        <f t="shared" si="3"/>
        <v>0</v>
      </c>
      <c r="J20" s="686">
        <f t="shared" si="3"/>
        <v>0</v>
      </c>
      <c r="K20" s="686">
        <f t="shared" si="3"/>
        <v>0</v>
      </c>
      <c r="L20" s="686"/>
      <c r="M20" s="542"/>
      <c r="N20" s="542"/>
      <c r="O20" s="542"/>
      <c r="P20" s="686"/>
      <c r="Q20" s="542"/>
      <c r="R20" s="542"/>
      <c r="S20" s="542"/>
    </row>
    <row r="21" spans="1:19">
      <c r="A21" s="704">
        <f t="shared" si="4"/>
        <v>2.0499999999999989</v>
      </c>
      <c r="B21" s="542"/>
      <c r="C21" s="686">
        <f t="shared" si="0"/>
        <v>0</v>
      </c>
      <c r="D21" s="686">
        <f t="shared" si="1"/>
        <v>0</v>
      </c>
      <c r="E21" s="686"/>
      <c r="F21" s="686"/>
      <c r="G21" s="686">
        <f t="shared" si="2"/>
        <v>0</v>
      </c>
      <c r="H21" s="686"/>
      <c r="I21" s="686">
        <f t="shared" si="3"/>
        <v>0</v>
      </c>
      <c r="J21" s="686">
        <f t="shared" si="3"/>
        <v>0</v>
      </c>
      <c r="K21" s="686">
        <f t="shared" si="3"/>
        <v>0</v>
      </c>
      <c r="L21" s="686"/>
      <c r="M21" s="542"/>
      <c r="N21" s="542"/>
      <c r="O21" s="542"/>
      <c r="P21" s="686"/>
      <c r="Q21" s="542"/>
      <c r="R21" s="542"/>
      <c r="S21" s="542"/>
    </row>
    <row r="22" spans="1:19">
      <c r="A22" s="704">
        <f t="shared" si="4"/>
        <v>2.0599999999999987</v>
      </c>
      <c r="B22" s="542"/>
      <c r="C22" s="686">
        <f t="shared" si="0"/>
        <v>0</v>
      </c>
      <c r="D22" s="686">
        <f t="shared" si="1"/>
        <v>0</v>
      </c>
      <c r="E22" s="686"/>
      <c r="F22" s="686"/>
      <c r="G22" s="686">
        <f t="shared" si="2"/>
        <v>0</v>
      </c>
      <c r="H22" s="686"/>
      <c r="I22" s="686">
        <f t="shared" si="3"/>
        <v>0</v>
      </c>
      <c r="J22" s="686">
        <f t="shared" si="3"/>
        <v>0</v>
      </c>
      <c r="K22" s="686">
        <f t="shared" si="3"/>
        <v>0</v>
      </c>
      <c r="L22" s="686"/>
      <c r="M22" s="542"/>
      <c r="N22" s="542"/>
      <c r="O22" s="542"/>
      <c r="P22" s="686"/>
      <c r="Q22" s="542"/>
      <c r="R22" s="542"/>
      <c r="S22" s="542"/>
    </row>
    <row r="23" spans="1:19">
      <c r="A23" s="704">
        <f t="shared" si="4"/>
        <v>2.0699999999999985</v>
      </c>
      <c r="B23" s="542"/>
      <c r="C23" s="686">
        <f t="shared" si="0"/>
        <v>0</v>
      </c>
      <c r="D23" s="686">
        <f t="shared" si="1"/>
        <v>0</v>
      </c>
      <c r="E23" s="686"/>
      <c r="F23" s="686"/>
      <c r="G23" s="686">
        <f t="shared" si="2"/>
        <v>0</v>
      </c>
      <c r="H23" s="686"/>
      <c r="I23" s="686">
        <f t="shared" si="3"/>
        <v>0</v>
      </c>
      <c r="J23" s="686">
        <f t="shared" si="3"/>
        <v>0</v>
      </c>
      <c r="K23" s="686">
        <f t="shared" si="3"/>
        <v>0</v>
      </c>
      <c r="L23" s="686"/>
      <c r="M23" s="542"/>
      <c r="N23" s="542"/>
      <c r="O23" s="542"/>
      <c r="P23" s="686"/>
      <c r="Q23" s="542"/>
      <c r="R23" s="542"/>
      <c r="S23" s="542"/>
    </row>
    <row r="24" spans="1:19">
      <c r="A24" s="704">
        <f t="shared" si="4"/>
        <v>2.0799999999999983</v>
      </c>
      <c r="B24" s="542"/>
      <c r="C24" s="686">
        <f t="shared" si="0"/>
        <v>0</v>
      </c>
      <c r="D24" s="686">
        <f t="shared" si="1"/>
        <v>0</v>
      </c>
      <c r="E24" s="686"/>
      <c r="F24" s="686"/>
      <c r="G24" s="686">
        <f t="shared" si="2"/>
        <v>0</v>
      </c>
      <c r="H24" s="686"/>
      <c r="I24" s="686">
        <f t="shared" si="3"/>
        <v>0</v>
      </c>
      <c r="J24" s="686">
        <f t="shared" si="3"/>
        <v>0</v>
      </c>
      <c r="K24" s="686">
        <f t="shared" si="3"/>
        <v>0</v>
      </c>
      <c r="L24" s="686"/>
      <c r="M24" s="542"/>
      <c r="N24" s="542"/>
      <c r="O24" s="542"/>
      <c r="P24" s="686"/>
      <c r="Q24" s="542"/>
      <c r="R24" s="542"/>
      <c r="S24" s="542"/>
    </row>
    <row r="25" spans="1:19">
      <c r="A25" s="704">
        <f t="shared" si="4"/>
        <v>2.0899999999999981</v>
      </c>
      <c r="B25" s="542"/>
      <c r="C25" s="686">
        <f t="shared" si="0"/>
        <v>0</v>
      </c>
      <c r="D25" s="686">
        <f t="shared" si="1"/>
        <v>0</v>
      </c>
      <c r="E25" s="686"/>
      <c r="F25" s="686"/>
      <c r="G25" s="686">
        <f t="shared" si="2"/>
        <v>0</v>
      </c>
      <c r="H25" s="686"/>
      <c r="I25" s="686">
        <f t="shared" si="3"/>
        <v>0</v>
      </c>
      <c r="J25" s="686">
        <f t="shared" si="3"/>
        <v>0</v>
      </c>
      <c r="K25" s="686">
        <f t="shared" si="3"/>
        <v>0</v>
      </c>
      <c r="L25" s="686"/>
      <c r="M25" s="542"/>
      <c r="N25" s="542"/>
      <c r="O25" s="542"/>
      <c r="P25" s="686"/>
      <c r="Q25" s="542"/>
      <c r="R25" s="542"/>
      <c r="S25" s="542"/>
    </row>
    <row r="26" spans="1:19">
      <c r="A26" s="704">
        <f t="shared" si="4"/>
        <v>2.0999999999999979</v>
      </c>
      <c r="B26" s="542"/>
      <c r="C26" s="686">
        <f t="shared" si="0"/>
        <v>0</v>
      </c>
      <c r="D26" s="686">
        <f t="shared" si="1"/>
        <v>0</v>
      </c>
      <c r="E26" s="686"/>
      <c r="F26" s="686"/>
      <c r="G26" s="686">
        <f t="shared" si="2"/>
        <v>0</v>
      </c>
      <c r="H26" s="686"/>
      <c r="I26" s="686">
        <f t="shared" si="3"/>
        <v>0</v>
      </c>
      <c r="J26" s="686">
        <f t="shared" si="3"/>
        <v>0</v>
      </c>
      <c r="K26" s="686">
        <f t="shared" si="3"/>
        <v>0</v>
      </c>
      <c r="L26" s="686"/>
      <c r="M26" s="542"/>
      <c r="N26" s="542"/>
      <c r="O26" s="542"/>
      <c r="P26" s="686"/>
      <c r="Q26" s="542"/>
      <c r="R26" s="542"/>
      <c r="S26" s="542"/>
    </row>
    <row r="27" spans="1:19" hidden="1">
      <c r="A27" s="704">
        <f t="shared" si="4"/>
        <v>2.1099999999999977</v>
      </c>
      <c r="B27" s="542"/>
      <c r="C27" s="686">
        <f t="shared" si="0"/>
        <v>0</v>
      </c>
      <c r="D27" s="686">
        <f t="shared" si="1"/>
        <v>0</v>
      </c>
      <c r="E27" s="686"/>
      <c r="F27" s="686"/>
      <c r="G27" s="686">
        <f t="shared" si="2"/>
        <v>0</v>
      </c>
      <c r="H27" s="686"/>
      <c r="I27" s="686">
        <f t="shared" si="3"/>
        <v>0</v>
      </c>
      <c r="J27" s="686">
        <f t="shared" si="3"/>
        <v>0</v>
      </c>
      <c r="K27" s="686">
        <f t="shared" si="3"/>
        <v>0</v>
      </c>
      <c r="L27" s="686"/>
      <c r="M27" s="542"/>
      <c r="N27" s="542"/>
      <c r="O27" s="542"/>
      <c r="P27" s="686"/>
      <c r="Q27" s="542"/>
      <c r="R27" s="542"/>
      <c r="S27" s="542"/>
    </row>
    <row r="28" spans="1:19" hidden="1">
      <c r="A28" s="704">
        <f t="shared" si="4"/>
        <v>2.1199999999999974</v>
      </c>
      <c r="B28" s="542"/>
      <c r="C28" s="686">
        <f t="shared" si="0"/>
        <v>0</v>
      </c>
      <c r="D28" s="686">
        <f t="shared" si="1"/>
        <v>0</v>
      </c>
      <c r="E28" s="686"/>
      <c r="F28" s="686"/>
      <c r="G28" s="686">
        <f t="shared" si="2"/>
        <v>0</v>
      </c>
      <c r="H28" s="686"/>
      <c r="I28" s="686">
        <f t="shared" si="3"/>
        <v>0</v>
      </c>
      <c r="J28" s="686">
        <f t="shared" si="3"/>
        <v>0</v>
      </c>
      <c r="K28" s="686">
        <f t="shared" si="3"/>
        <v>0</v>
      </c>
      <c r="L28" s="686"/>
      <c r="M28" s="542"/>
      <c r="N28" s="542"/>
      <c r="O28" s="542"/>
      <c r="P28" s="686"/>
      <c r="Q28" s="542"/>
      <c r="R28" s="542"/>
      <c r="S28" s="542"/>
    </row>
    <row r="29" spans="1:19" hidden="1">
      <c r="A29" s="704">
        <f t="shared" si="4"/>
        <v>2.1299999999999972</v>
      </c>
      <c r="B29" s="542"/>
      <c r="C29" s="686">
        <f t="shared" si="0"/>
        <v>0</v>
      </c>
      <c r="D29" s="686">
        <f t="shared" si="1"/>
        <v>0</v>
      </c>
      <c r="E29" s="686"/>
      <c r="F29" s="686"/>
      <c r="G29" s="686">
        <f t="shared" si="2"/>
        <v>0</v>
      </c>
      <c r="H29" s="686"/>
      <c r="I29" s="686">
        <f t="shared" si="3"/>
        <v>0</v>
      </c>
      <c r="J29" s="686">
        <f t="shared" si="3"/>
        <v>0</v>
      </c>
      <c r="K29" s="686">
        <f t="shared" si="3"/>
        <v>0</v>
      </c>
      <c r="L29" s="686"/>
      <c r="M29" s="542"/>
      <c r="N29" s="542"/>
      <c r="O29" s="542"/>
      <c r="P29" s="686"/>
      <c r="Q29" s="542"/>
      <c r="R29" s="542"/>
      <c r="S29" s="542"/>
    </row>
    <row r="30" spans="1:19" hidden="1">
      <c r="A30" s="704">
        <f t="shared" si="4"/>
        <v>2.139999999999997</v>
      </c>
      <c r="B30" s="542"/>
      <c r="C30" s="686">
        <f t="shared" si="0"/>
        <v>0</v>
      </c>
      <c r="D30" s="686">
        <f t="shared" si="1"/>
        <v>0</v>
      </c>
      <c r="E30" s="686"/>
      <c r="F30" s="686"/>
      <c r="G30" s="686">
        <f t="shared" si="2"/>
        <v>0</v>
      </c>
      <c r="H30" s="686"/>
      <c r="I30" s="686">
        <f t="shared" si="3"/>
        <v>0</v>
      </c>
      <c r="J30" s="686">
        <f t="shared" si="3"/>
        <v>0</v>
      </c>
      <c r="K30" s="686">
        <f t="shared" si="3"/>
        <v>0</v>
      </c>
      <c r="L30" s="686"/>
      <c r="M30" s="542"/>
      <c r="N30" s="542"/>
      <c r="O30" s="542"/>
      <c r="P30" s="686"/>
      <c r="Q30" s="542"/>
      <c r="R30" s="542"/>
      <c r="S30" s="542"/>
    </row>
    <row r="31" spans="1:19" hidden="1">
      <c r="A31" s="704">
        <f t="shared" si="4"/>
        <v>2.1499999999999968</v>
      </c>
      <c r="B31" s="542"/>
      <c r="C31" s="686">
        <f t="shared" si="0"/>
        <v>0</v>
      </c>
      <c r="D31" s="686">
        <f t="shared" si="1"/>
        <v>0</v>
      </c>
      <c r="E31" s="686"/>
      <c r="F31" s="686"/>
      <c r="G31" s="686">
        <f t="shared" si="2"/>
        <v>0</v>
      </c>
      <c r="H31" s="686"/>
      <c r="I31" s="686">
        <f t="shared" si="3"/>
        <v>0</v>
      </c>
      <c r="J31" s="686">
        <f t="shared" si="3"/>
        <v>0</v>
      </c>
      <c r="K31" s="686">
        <f t="shared" si="3"/>
        <v>0</v>
      </c>
      <c r="L31" s="686"/>
      <c r="M31" s="542"/>
      <c r="N31" s="542"/>
      <c r="O31" s="542"/>
      <c r="P31" s="686"/>
      <c r="Q31" s="542"/>
      <c r="R31" s="542"/>
      <c r="S31" s="542"/>
    </row>
    <row r="32" spans="1:19" hidden="1">
      <c r="A32" s="704">
        <f t="shared" si="4"/>
        <v>2.1599999999999966</v>
      </c>
      <c r="B32" s="542"/>
      <c r="C32" s="686">
        <f t="shared" si="0"/>
        <v>0</v>
      </c>
      <c r="D32" s="686">
        <f t="shared" si="1"/>
        <v>0</v>
      </c>
      <c r="E32" s="686"/>
      <c r="F32" s="686"/>
      <c r="G32" s="686">
        <f t="shared" si="2"/>
        <v>0</v>
      </c>
      <c r="H32" s="686"/>
      <c r="I32" s="686">
        <f t="shared" si="3"/>
        <v>0</v>
      </c>
      <c r="J32" s="686">
        <f t="shared" si="3"/>
        <v>0</v>
      </c>
      <c r="K32" s="686">
        <f t="shared" si="3"/>
        <v>0</v>
      </c>
      <c r="L32" s="686"/>
      <c r="M32" s="542"/>
      <c r="N32" s="542"/>
      <c r="O32" s="542"/>
      <c r="P32" s="686"/>
      <c r="Q32" s="542"/>
      <c r="R32" s="542"/>
      <c r="S32" s="542"/>
    </row>
    <row r="33" spans="1:19" hidden="1">
      <c r="A33" s="704">
        <f t="shared" si="4"/>
        <v>2.1699999999999964</v>
      </c>
      <c r="B33" s="542"/>
      <c r="C33" s="686">
        <f t="shared" si="0"/>
        <v>0</v>
      </c>
      <c r="D33" s="686">
        <f t="shared" si="1"/>
        <v>0</v>
      </c>
      <c r="E33" s="686"/>
      <c r="F33" s="686"/>
      <c r="G33" s="686">
        <f t="shared" si="2"/>
        <v>0</v>
      </c>
      <c r="H33" s="686"/>
      <c r="I33" s="686">
        <f t="shared" si="3"/>
        <v>0</v>
      </c>
      <c r="J33" s="686">
        <f t="shared" si="3"/>
        <v>0</v>
      </c>
      <c r="K33" s="686">
        <f t="shared" si="3"/>
        <v>0</v>
      </c>
      <c r="L33" s="686"/>
      <c r="M33" s="542"/>
      <c r="N33" s="542"/>
      <c r="O33" s="542"/>
      <c r="P33" s="686"/>
      <c r="Q33" s="542"/>
      <c r="R33" s="542"/>
      <c r="S33" s="542"/>
    </row>
    <row r="34" spans="1:19" hidden="1">
      <c r="A34" s="704">
        <f t="shared" si="4"/>
        <v>2.1799999999999962</v>
      </c>
      <c r="B34" s="542"/>
      <c r="C34" s="686">
        <f t="shared" si="0"/>
        <v>0</v>
      </c>
      <c r="D34" s="686">
        <f t="shared" si="1"/>
        <v>0</v>
      </c>
      <c r="E34" s="686"/>
      <c r="F34" s="686"/>
      <c r="G34" s="686">
        <f t="shared" si="2"/>
        <v>0</v>
      </c>
      <c r="H34" s="686"/>
      <c r="I34" s="686">
        <f t="shared" si="3"/>
        <v>0</v>
      </c>
      <c r="J34" s="686">
        <f t="shared" si="3"/>
        <v>0</v>
      </c>
      <c r="K34" s="686">
        <f t="shared" si="3"/>
        <v>0</v>
      </c>
      <c r="L34" s="686"/>
      <c r="M34" s="542"/>
      <c r="N34" s="542"/>
      <c r="O34" s="542"/>
      <c r="P34" s="686"/>
      <c r="Q34" s="542"/>
      <c r="R34" s="542"/>
      <c r="S34" s="542"/>
    </row>
    <row r="35" spans="1:19" hidden="1">
      <c r="A35" s="704">
        <f t="shared" si="4"/>
        <v>2.1899999999999959</v>
      </c>
      <c r="B35" s="542"/>
      <c r="C35" s="686">
        <f t="shared" si="0"/>
        <v>0</v>
      </c>
      <c r="D35" s="686">
        <f t="shared" si="1"/>
        <v>0</v>
      </c>
      <c r="E35" s="686"/>
      <c r="F35" s="686"/>
      <c r="G35" s="686">
        <f t="shared" si="2"/>
        <v>0</v>
      </c>
      <c r="H35" s="686"/>
      <c r="I35" s="686">
        <f t="shared" si="3"/>
        <v>0</v>
      </c>
      <c r="J35" s="686">
        <f t="shared" si="3"/>
        <v>0</v>
      </c>
      <c r="K35" s="686">
        <f t="shared" si="3"/>
        <v>0</v>
      </c>
      <c r="L35" s="686"/>
      <c r="M35" s="542"/>
      <c r="N35" s="542"/>
      <c r="O35" s="542"/>
      <c r="P35" s="686"/>
      <c r="Q35" s="542"/>
      <c r="R35" s="542"/>
      <c r="S35" s="542"/>
    </row>
    <row r="36" spans="1:19" hidden="1">
      <c r="A36" s="704">
        <f t="shared" si="4"/>
        <v>2.1999999999999957</v>
      </c>
      <c r="B36" s="542"/>
      <c r="C36" s="686">
        <f t="shared" si="0"/>
        <v>0</v>
      </c>
      <c r="D36" s="686">
        <f t="shared" si="1"/>
        <v>0</v>
      </c>
      <c r="E36" s="686"/>
      <c r="F36" s="686"/>
      <c r="G36" s="686">
        <f t="shared" si="2"/>
        <v>0</v>
      </c>
      <c r="H36" s="686"/>
      <c r="I36" s="686">
        <f t="shared" si="3"/>
        <v>0</v>
      </c>
      <c r="J36" s="686">
        <f t="shared" si="3"/>
        <v>0</v>
      </c>
      <c r="K36" s="686">
        <f t="shared" si="3"/>
        <v>0</v>
      </c>
      <c r="L36" s="686"/>
      <c r="M36" s="542"/>
      <c r="N36" s="542"/>
      <c r="O36" s="542"/>
      <c r="P36" s="686"/>
      <c r="Q36" s="542"/>
      <c r="R36" s="542"/>
      <c r="S36" s="542"/>
    </row>
    <row r="37" spans="1:19" hidden="1">
      <c r="A37" s="704">
        <f t="shared" si="4"/>
        <v>2.2099999999999955</v>
      </c>
      <c r="B37" s="542"/>
      <c r="C37" s="686">
        <f t="shared" si="0"/>
        <v>0</v>
      </c>
      <c r="D37" s="686">
        <f t="shared" si="1"/>
        <v>0</v>
      </c>
      <c r="E37" s="686"/>
      <c r="F37" s="686"/>
      <c r="G37" s="686">
        <f t="shared" si="2"/>
        <v>0</v>
      </c>
      <c r="H37" s="686"/>
      <c r="I37" s="686">
        <f t="shared" si="3"/>
        <v>0</v>
      </c>
      <c r="J37" s="686">
        <f t="shared" si="3"/>
        <v>0</v>
      </c>
      <c r="K37" s="686">
        <f t="shared" si="3"/>
        <v>0</v>
      </c>
      <c r="L37" s="686"/>
      <c r="M37" s="542"/>
      <c r="N37" s="542"/>
      <c r="O37" s="542"/>
      <c r="P37" s="686"/>
      <c r="Q37" s="542"/>
      <c r="R37" s="542"/>
      <c r="S37" s="542"/>
    </row>
    <row r="38" spans="1:19" hidden="1">
      <c r="A38" s="704">
        <f t="shared" si="4"/>
        <v>2.2199999999999953</v>
      </c>
      <c r="B38" s="542"/>
      <c r="C38" s="686">
        <f t="shared" si="0"/>
        <v>0</v>
      </c>
      <c r="D38" s="686">
        <f t="shared" si="1"/>
        <v>0</v>
      </c>
      <c r="E38" s="686"/>
      <c r="F38" s="686"/>
      <c r="G38" s="686">
        <f t="shared" si="2"/>
        <v>0</v>
      </c>
      <c r="H38" s="686"/>
      <c r="I38" s="686">
        <f t="shared" si="3"/>
        <v>0</v>
      </c>
      <c r="J38" s="686">
        <f t="shared" si="3"/>
        <v>0</v>
      </c>
      <c r="K38" s="686">
        <f t="shared" si="3"/>
        <v>0</v>
      </c>
      <c r="L38" s="686"/>
      <c r="M38" s="542"/>
      <c r="N38" s="542"/>
      <c r="O38" s="542"/>
      <c r="P38" s="686"/>
      <c r="Q38" s="542"/>
      <c r="R38" s="542"/>
      <c r="S38" s="542"/>
    </row>
    <row r="39" spans="1:19" hidden="1">
      <c r="A39" s="704">
        <f t="shared" si="4"/>
        <v>2.2299999999999951</v>
      </c>
      <c r="B39" s="542"/>
      <c r="C39" s="686">
        <f t="shared" si="0"/>
        <v>0</v>
      </c>
      <c r="D39" s="686">
        <f t="shared" si="1"/>
        <v>0</v>
      </c>
      <c r="E39" s="686"/>
      <c r="F39" s="686"/>
      <c r="G39" s="686">
        <f t="shared" si="2"/>
        <v>0</v>
      </c>
      <c r="H39" s="686"/>
      <c r="I39" s="686">
        <f t="shared" si="3"/>
        <v>0</v>
      </c>
      <c r="J39" s="686">
        <f t="shared" si="3"/>
        <v>0</v>
      </c>
      <c r="K39" s="686">
        <f t="shared" si="3"/>
        <v>0</v>
      </c>
      <c r="L39" s="686"/>
      <c r="M39" s="542"/>
      <c r="N39" s="542"/>
      <c r="O39" s="542"/>
      <c r="P39" s="686"/>
      <c r="Q39" s="542"/>
      <c r="R39" s="542"/>
      <c r="S39" s="542"/>
    </row>
    <row r="40" spans="1:19" hidden="1">
      <c r="A40" s="704">
        <f t="shared" si="4"/>
        <v>2.2399999999999949</v>
      </c>
      <c r="B40" s="542"/>
      <c r="C40" s="686">
        <f t="shared" si="0"/>
        <v>0</v>
      </c>
      <c r="D40" s="686">
        <f t="shared" si="1"/>
        <v>0</v>
      </c>
      <c r="E40" s="686"/>
      <c r="F40" s="686"/>
      <c r="G40" s="686">
        <f t="shared" si="2"/>
        <v>0</v>
      </c>
      <c r="H40" s="686"/>
      <c r="I40" s="686">
        <f t="shared" si="3"/>
        <v>0</v>
      </c>
      <c r="J40" s="686">
        <f t="shared" si="3"/>
        <v>0</v>
      </c>
      <c r="K40" s="686">
        <f t="shared" si="3"/>
        <v>0</v>
      </c>
      <c r="L40" s="686"/>
      <c r="M40" s="542"/>
      <c r="N40" s="542"/>
      <c r="O40" s="542"/>
      <c r="P40" s="686"/>
      <c r="Q40" s="542"/>
      <c r="R40" s="542"/>
      <c r="S40" s="542"/>
    </row>
    <row r="41" spans="1:19" hidden="1">
      <c r="A41" s="704">
        <f t="shared" si="4"/>
        <v>2.2499999999999947</v>
      </c>
      <c r="B41" s="542"/>
      <c r="C41" s="686">
        <f t="shared" si="0"/>
        <v>0</v>
      </c>
      <c r="D41" s="686">
        <f t="shared" si="1"/>
        <v>0</v>
      </c>
      <c r="E41" s="686"/>
      <c r="F41" s="686"/>
      <c r="G41" s="686">
        <f t="shared" si="2"/>
        <v>0</v>
      </c>
      <c r="H41" s="686"/>
      <c r="I41" s="686">
        <f t="shared" si="3"/>
        <v>0</v>
      </c>
      <c r="J41" s="686">
        <f t="shared" si="3"/>
        <v>0</v>
      </c>
      <c r="K41" s="686">
        <f t="shared" si="3"/>
        <v>0</v>
      </c>
      <c r="L41" s="686"/>
      <c r="M41" s="542"/>
      <c r="N41" s="542"/>
      <c r="O41" s="542"/>
      <c r="P41" s="686"/>
      <c r="Q41" s="542"/>
      <c r="R41" s="542"/>
      <c r="S41" s="542"/>
    </row>
    <row r="42" spans="1:19" hidden="1">
      <c r="A42" s="704">
        <f t="shared" si="4"/>
        <v>2.2599999999999945</v>
      </c>
      <c r="B42" s="542"/>
      <c r="C42" s="686">
        <f t="shared" si="0"/>
        <v>0</v>
      </c>
      <c r="D42" s="686">
        <f t="shared" si="1"/>
        <v>0</v>
      </c>
      <c r="E42" s="686"/>
      <c r="F42" s="686"/>
      <c r="G42" s="686">
        <f t="shared" si="2"/>
        <v>0</v>
      </c>
      <c r="H42" s="686"/>
      <c r="I42" s="686">
        <f t="shared" si="3"/>
        <v>0</v>
      </c>
      <c r="J42" s="686">
        <f t="shared" si="3"/>
        <v>0</v>
      </c>
      <c r="K42" s="686">
        <f t="shared" si="3"/>
        <v>0</v>
      </c>
      <c r="L42" s="686"/>
      <c r="M42" s="542"/>
      <c r="N42" s="542"/>
      <c r="O42" s="542"/>
      <c r="P42" s="686"/>
      <c r="Q42" s="542"/>
      <c r="R42" s="542"/>
      <c r="S42" s="542"/>
    </row>
    <row r="43" spans="1:19" hidden="1">
      <c r="A43" s="704">
        <f t="shared" si="4"/>
        <v>2.2699999999999942</v>
      </c>
      <c r="B43" s="542"/>
      <c r="C43" s="686">
        <f t="shared" si="0"/>
        <v>0</v>
      </c>
      <c r="D43" s="686">
        <f t="shared" si="1"/>
        <v>0</v>
      </c>
      <c r="E43" s="686"/>
      <c r="F43" s="686"/>
      <c r="G43" s="686">
        <f t="shared" si="2"/>
        <v>0</v>
      </c>
      <c r="H43" s="686"/>
      <c r="I43" s="686">
        <f t="shared" si="3"/>
        <v>0</v>
      </c>
      <c r="J43" s="686">
        <f t="shared" si="3"/>
        <v>0</v>
      </c>
      <c r="K43" s="686">
        <f t="shared" si="3"/>
        <v>0</v>
      </c>
      <c r="L43" s="686"/>
      <c r="M43" s="542"/>
      <c r="N43" s="542"/>
      <c r="O43" s="542"/>
      <c r="P43" s="686"/>
      <c r="Q43" s="542"/>
      <c r="R43" s="542"/>
      <c r="S43" s="542"/>
    </row>
    <row r="44" spans="1:19" hidden="1">
      <c r="A44" s="704">
        <f t="shared" si="4"/>
        <v>2.279999999999994</v>
      </c>
      <c r="B44" s="542"/>
      <c r="C44" s="686">
        <f t="shared" si="0"/>
        <v>0</v>
      </c>
      <c r="D44" s="686">
        <f t="shared" si="1"/>
        <v>0</v>
      </c>
      <c r="E44" s="686"/>
      <c r="F44" s="686"/>
      <c r="G44" s="686">
        <f t="shared" si="2"/>
        <v>0</v>
      </c>
      <c r="H44" s="686"/>
      <c r="I44" s="686">
        <f t="shared" si="3"/>
        <v>0</v>
      </c>
      <c r="J44" s="686">
        <f t="shared" si="3"/>
        <v>0</v>
      </c>
      <c r="K44" s="686">
        <f t="shared" si="3"/>
        <v>0</v>
      </c>
      <c r="L44" s="686"/>
      <c r="M44" s="542"/>
      <c r="N44" s="542"/>
      <c r="O44" s="542"/>
      <c r="P44" s="686"/>
      <c r="Q44" s="542"/>
      <c r="R44" s="542"/>
      <c r="S44" s="542"/>
    </row>
    <row r="45" spans="1:19" hidden="1">
      <c r="A45" s="704">
        <f t="shared" si="4"/>
        <v>2.2899999999999938</v>
      </c>
      <c r="B45" s="542"/>
      <c r="C45" s="686">
        <f t="shared" si="0"/>
        <v>0</v>
      </c>
      <c r="D45" s="686">
        <f t="shared" si="1"/>
        <v>0</v>
      </c>
      <c r="E45" s="686"/>
      <c r="F45" s="686"/>
      <c r="G45" s="686">
        <f t="shared" si="2"/>
        <v>0</v>
      </c>
      <c r="H45" s="686"/>
      <c r="I45" s="686">
        <f t="shared" si="3"/>
        <v>0</v>
      </c>
      <c r="J45" s="686">
        <f t="shared" si="3"/>
        <v>0</v>
      </c>
      <c r="K45" s="686">
        <f t="shared" si="3"/>
        <v>0</v>
      </c>
      <c r="L45" s="686"/>
      <c r="M45" s="542"/>
      <c r="N45" s="542"/>
      <c r="O45" s="542"/>
      <c r="P45" s="686"/>
      <c r="Q45" s="542"/>
      <c r="R45" s="542"/>
      <c r="S45" s="542"/>
    </row>
    <row r="46" spans="1:19" hidden="1">
      <c r="A46" s="704">
        <f t="shared" si="4"/>
        <v>2.2999999999999936</v>
      </c>
      <c r="B46" s="542"/>
      <c r="C46" s="686">
        <f t="shared" si="0"/>
        <v>0</v>
      </c>
      <c r="D46" s="686">
        <f t="shared" si="1"/>
        <v>0</v>
      </c>
      <c r="E46" s="686"/>
      <c r="F46" s="686"/>
      <c r="G46" s="686">
        <f t="shared" si="2"/>
        <v>0</v>
      </c>
      <c r="H46" s="686"/>
      <c r="I46" s="686">
        <f t="shared" si="3"/>
        <v>0</v>
      </c>
      <c r="J46" s="686">
        <f t="shared" si="3"/>
        <v>0</v>
      </c>
      <c r="K46" s="686">
        <f t="shared" si="3"/>
        <v>0</v>
      </c>
      <c r="L46" s="686"/>
      <c r="M46" s="542"/>
      <c r="N46" s="542"/>
      <c r="O46" s="542"/>
      <c r="P46" s="686"/>
      <c r="Q46" s="542"/>
      <c r="R46" s="542"/>
      <c r="S46" s="542"/>
    </row>
    <row r="47" spans="1:19" hidden="1">
      <c r="A47" s="704">
        <f t="shared" si="4"/>
        <v>2.3099999999999934</v>
      </c>
      <c r="B47" s="542"/>
      <c r="C47" s="686">
        <f t="shared" si="0"/>
        <v>0</v>
      </c>
      <c r="D47" s="686">
        <f t="shared" si="1"/>
        <v>0</v>
      </c>
      <c r="E47" s="686"/>
      <c r="F47" s="686"/>
      <c r="G47" s="686">
        <f t="shared" si="2"/>
        <v>0</v>
      </c>
      <c r="H47" s="686"/>
      <c r="I47" s="686">
        <f t="shared" si="3"/>
        <v>0</v>
      </c>
      <c r="J47" s="686">
        <f t="shared" si="3"/>
        <v>0</v>
      </c>
      <c r="K47" s="686">
        <f t="shared" si="3"/>
        <v>0</v>
      </c>
      <c r="L47" s="686"/>
      <c r="M47" s="542"/>
      <c r="N47" s="542"/>
      <c r="O47" s="542"/>
      <c r="P47" s="686"/>
      <c r="Q47" s="542"/>
      <c r="R47" s="542"/>
      <c r="S47" s="542"/>
    </row>
    <row r="48" spans="1:19" hidden="1">
      <c r="A48" s="704">
        <f t="shared" si="4"/>
        <v>2.3199999999999932</v>
      </c>
      <c r="B48" s="542"/>
      <c r="C48" s="686">
        <f t="shared" si="0"/>
        <v>0</v>
      </c>
      <c r="D48" s="686">
        <f t="shared" si="1"/>
        <v>0</v>
      </c>
      <c r="E48" s="686"/>
      <c r="F48" s="686"/>
      <c r="G48" s="686">
        <f t="shared" si="2"/>
        <v>0</v>
      </c>
      <c r="H48" s="686"/>
      <c r="I48" s="686">
        <f t="shared" si="3"/>
        <v>0</v>
      </c>
      <c r="J48" s="686">
        <f t="shared" si="3"/>
        <v>0</v>
      </c>
      <c r="K48" s="686">
        <f t="shared" si="3"/>
        <v>0</v>
      </c>
      <c r="L48" s="686"/>
      <c r="M48" s="542"/>
      <c r="N48" s="542"/>
      <c r="O48" s="542"/>
      <c r="P48" s="686"/>
      <c r="Q48" s="542"/>
      <c r="R48" s="542"/>
      <c r="S48" s="542"/>
    </row>
    <row r="49" spans="1:19" hidden="1">
      <c r="A49" s="704">
        <f t="shared" si="4"/>
        <v>2.329999999999993</v>
      </c>
      <c r="B49" s="542"/>
      <c r="C49" s="686">
        <f t="shared" si="0"/>
        <v>0</v>
      </c>
      <c r="D49" s="686">
        <f t="shared" si="1"/>
        <v>0</v>
      </c>
      <c r="E49" s="686"/>
      <c r="F49" s="686"/>
      <c r="G49" s="686">
        <f t="shared" si="2"/>
        <v>0</v>
      </c>
      <c r="H49" s="686"/>
      <c r="I49" s="686">
        <f t="shared" ref="I49:K80" si="5">(M49+Q49)/2</f>
        <v>0</v>
      </c>
      <c r="J49" s="686">
        <f t="shared" si="5"/>
        <v>0</v>
      </c>
      <c r="K49" s="686">
        <f t="shared" si="5"/>
        <v>0</v>
      </c>
      <c r="L49" s="686"/>
      <c r="M49" s="542"/>
      <c r="N49" s="542"/>
      <c r="O49" s="542"/>
      <c r="P49" s="686"/>
      <c r="Q49" s="542"/>
      <c r="R49" s="542"/>
      <c r="S49" s="542"/>
    </row>
    <row r="50" spans="1:19" hidden="1">
      <c r="A50" s="704">
        <f t="shared" si="4"/>
        <v>2.3399999999999928</v>
      </c>
      <c r="B50" s="542"/>
      <c r="C50" s="686">
        <f t="shared" si="0"/>
        <v>0</v>
      </c>
      <c r="D50" s="686">
        <f t="shared" si="1"/>
        <v>0</v>
      </c>
      <c r="E50" s="686"/>
      <c r="F50" s="686"/>
      <c r="G50" s="686">
        <f t="shared" si="2"/>
        <v>0</v>
      </c>
      <c r="H50" s="686"/>
      <c r="I50" s="686">
        <f t="shared" si="5"/>
        <v>0</v>
      </c>
      <c r="J50" s="686">
        <f t="shared" si="5"/>
        <v>0</v>
      </c>
      <c r="K50" s="686">
        <f t="shared" si="5"/>
        <v>0</v>
      </c>
      <c r="L50" s="686"/>
      <c r="M50" s="542"/>
      <c r="N50" s="542"/>
      <c r="O50" s="542"/>
      <c r="P50" s="686"/>
      <c r="Q50" s="542"/>
      <c r="R50" s="542"/>
      <c r="S50" s="542"/>
    </row>
    <row r="51" spans="1:19" hidden="1">
      <c r="A51" s="704">
        <f t="shared" si="4"/>
        <v>2.3499999999999925</v>
      </c>
      <c r="B51" s="542"/>
      <c r="C51" s="686">
        <f t="shared" si="0"/>
        <v>0</v>
      </c>
      <c r="D51" s="686">
        <f t="shared" si="1"/>
        <v>0</v>
      </c>
      <c r="E51" s="686"/>
      <c r="F51" s="686"/>
      <c r="G51" s="686">
        <f t="shared" si="2"/>
        <v>0</v>
      </c>
      <c r="H51" s="686"/>
      <c r="I51" s="686">
        <f t="shared" si="5"/>
        <v>0</v>
      </c>
      <c r="J51" s="686">
        <f t="shared" si="5"/>
        <v>0</v>
      </c>
      <c r="K51" s="686">
        <f t="shared" si="5"/>
        <v>0</v>
      </c>
      <c r="L51" s="686"/>
      <c r="M51" s="542"/>
      <c r="N51" s="542"/>
      <c r="O51" s="542"/>
      <c r="P51" s="686"/>
      <c r="Q51" s="542"/>
      <c r="R51" s="542"/>
      <c r="S51" s="542"/>
    </row>
    <row r="52" spans="1:19" hidden="1">
      <c r="A52" s="704">
        <f t="shared" si="4"/>
        <v>2.3599999999999923</v>
      </c>
      <c r="B52" s="542"/>
      <c r="C52" s="686">
        <f t="shared" si="0"/>
        <v>0</v>
      </c>
      <c r="D52" s="686">
        <f t="shared" si="1"/>
        <v>0</v>
      </c>
      <c r="E52" s="686"/>
      <c r="F52" s="686"/>
      <c r="G52" s="686">
        <f t="shared" si="2"/>
        <v>0</v>
      </c>
      <c r="H52" s="686"/>
      <c r="I52" s="686">
        <f t="shared" si="5"/>
        <v>0</v>
      </c>
      <c r="J52" s="686">
        <f t="shared" si="5"/>
        <v>0</v>
      </c>
      <c r="K52" s="686">
        <f t="shared" si="5"/>
        <v>0</v>
      </c>
      <c r="L52" s="686"/>
      <c r="M52" s="542"/>
      <c r="N52" s="542"/>
      <c r="O52" s="542"/>
      <c r="P52" s="686"/>
      <c r="Q52" s="542"/>
      <c r="R52" s="542"/>
      <c r="S52" s="542"/>
    </row>
    <row r="53" spans="1:19" hidden="1">
      <c r="A53" s="704">
        <f t="shared" si="4"/>
        <v>2.3699999999999921</v>
      </c>
      <c r="B53" s="542"/>
      <c r="C53" s="686">
        <f t="shared" si="0"/>
        <v>0</v>
      </c>
      <c r="D53" s="686">
        <f t="shared" si="1"/>
        <v>0</v>
      </c>
      <c r="E53" s="686"/>
      <c r="F53" s="686"/>
      <c r="G53" s="686">
        <f t="shared" si="2"/>
        <v>0</v>
      </c>
      <c r="H53" s="686"/>
      <c r="I53" s="686">
        <f t="shared" si="5"/>
        <v>0</v>
      </c>
      <c r="J53" s="686">
        <f t="shared" si="5"/>
        <v>0</v>
      </c>
      <c r="K53" s="686">
        <f t="shared" si="5"/>
        <v>0</v>
      </c>
      <c r="L53" s="686"/>
      <c r="M53" s="542"/>
      <c r="N53" s="542"/>
      <c r="O53" s="542"/>
      <c r="P53" s="686"/>
      <c r="Q53" s="542"/>
      <c r="R53" s="542"/>
      <c r="S53" s="542"/>
    </row>
    <row r="54" spans="1:19" hidden="1">
      <c r="A54" s="704">
        <f t="shared" si="4"/>
        <v>2.3799999999999919</v>
      </c>
      <c r="B54" s="542"/>
      <c r="C54" s="686">
        <f t="shared" si="0"/>
        <v>0</v>
      </c>
      <c r="D54" s="686">
        <f t="shared" si="1"/>
        <v>0</v>
      </c>
      <c r="E54" s="686"/>
      <c r="F54" s="686"/>
      <c r="G54" s="686">
        <f t="shared" si="2"/>
        <v>0</v>
      </c>
      <c r="H54" s="686"/>
      <c r="I54" s="686">
        <f t="shared" si="5"/>
        <v>0</v>
      </c>
      <c r="J54" s="686">
        <f t="shared" si="5"/>
        <v>0</v>
      </c>
      <c r="K54" s="686">
        <f t="shared" si="5"/>
        <v>0</v>
      </c>
      <c r="L54" s="686"/>
      <c r="M54" s="542"/>
      <c r="N54" s="542"/>
      <c r="O54" s="542"/>
      <c r="P54" s="686"/>
      <c r="Q54" s="542"/>
      <c r="R54" s="542"/>
      <c r="S54" s="542"/>
    </row>
    <row r="55" spans="1:19" hidden="1">
      <c r="A55" s="704">
        <f t="shared" si="4"/>
        <v>2.3899999999999917</v>
      </c>
      <c r="B55" s="542"/>
      <c r="C55" s="686">
        <f t="shared" si="0"/>
        <v>0</v>
      </c>
      <c r="D55" s="686">
        <f t="shared" si="1"/>
        <v>0</v>
      </c>
      <c r="E55" s="686"/>
      <c r="F55" s="686"/>
      <c r="G55" s="686">
        <f t="shared" si="2"/>
        <v>0</v>
      </c>
      <c r="H55" s="686"/>
      <c r="I55" s="686">
        <f t="shared" si="5"/>
        <v>0</v>
      </c>
      <c r="J55" s="686">
        <f t="shared" si="5"/>
        <v>0</v>
      </c>
      <c r="K55" s="686">
        <f t="shared" si="5"/>
        <v>0</v>
      </c>
      <c r="L55" s="686"/>
      <c r="M55" s="542"/>
      <c r="N55" s="542"/>
      <c r="O55" s="542"/>
      <c r="P55" s="686"/>
      <c r="Q55" s="542"/>
      <c r="R55" s="542"/>
      <c r="S55" s="542"/>
    </row>
    <row r="56" spans="1:19" hidden="1">
      <c r="A56" s="704">
        <f t="shared" si="4"/>
        <v>2.3999999999999915</v>
      </c>
      <c r="B56" s="542"/>
      <c r="C56" s="686">
        <f t="shared" si="0"/>
        <v>0</v>
      </c>
      <c r="D56" s="686">
        <f t="shared" si="1"/>
        <v>0</v>
      </c>
      <c r="E56" s="686"/>
      <c r="F56" s="686"/>
      <c r="G56" s="686">
        <f t="shared" si="2"/>
        <v>0</v>
      </c>
      <c r="H56" s="686"/>
      <c r="I56" s="686">
        <f t="shared" si="5"/>
        <v>0</v>
      </c>
      <c r="J56" s="686">
        <f t="shared" si="5"/>
        <v>0</v>
      </c>
      <c r="K56" s="686">
        <f t="shared" si="5"/>
        <v>0</v>
      </c>
      <c r="L56" s="686"/>
      <c r="M56" s="542"/>
      <c r="N56" s="542"/>
      <c r="O56" s="542"/>
      <c r="P56" s="686"/>
      <c r="Q56" s="542"/>
      <c r="R56" s="542"/>
      <c r="S56" s="542"/>
    </row>
    <row r="57" spans="1:19" hidden="1">
      <c r="A57" s="704">
        <f t="shared" si="4"/>
        <v>2.4099999999999913</v>
      </c>
      <c r="B57" s="542"/>
      <c r="C57" s="686">
        <f t="shared" si="0"/>
        <v>0</v>
      </c>
      <c r="D57" s="686">
        <f t="shared" si="1"/>
        <v>0</v>
      </c>
      <c r="E57" s="686"/>
      <c r="F57" s="686"/>
      <c r="G57" s="686">
        <f t="shared" si="2"/>
        <v>0</v>
      </c>
      <c r="H57" s="686"/>
      <c r="I57" s="686">
        <f t="shared" si="5"/>
        <v>0</v>
      </c>
      <c r="J57" s="686">
        <f t="shared" si="5"/>
        <v>0</v>
      </c>
      <c r="K57" s="686">
        <f t="shared" si="5"/>
        <v>0</v>
      </c>
      <c r="L57" s="686"/>
      <c r="M57" s="542"/>
      <c r="N57" s="542"/>
      <c r="O57" s="542"/>
      <c r="P57" s="686"/>
      <c r="Q57" s="542"/>
      <c r="R57" s="542"/>
      <c r="S57" s="542"/>
    </row>
    <row r="58" spans="1:19" hidden="1">
      <c r="A58" s="704">
        <f t="shared" si="4"/>
        <v>2.419999999999991</v>
      </c>
      <c r="B58" s="542"/>
      <c r="C58" s="686">
        <f t="shared" si="0"/>
        <v>0</v>
      </c>
      <c r="D58" s="686">
        <f t="shared" si="1"/>
        <v>0</v>
      </c>
      <c r="E58" s="686"/>
      <c r="F58" s="686"/>
      <c r="G58" s="686">
        <f t="shared" si="2"/>
        <v>0</v>
      </c>
      <c r="H58" s="686"/>
      <c r="I58" s="686">
        <f t="shared" si="5"/>
        <v>0</v>
      </c>
      <c r="J58" s="686">
        <f t="shared" si="5"/>
        <v>0</v>
      </c>
      <c r="K58" s="686">
        <f t="shared" si="5"/>
        <v>0</v>
      </c>
      <c r="L58" s="686"/>
      <c r="M58" s="542"/>
      <c r="N58" s="542"/>
      <c r="O58" s="542"/>
      <c r="P58" s="686"/>
      <c r="Q58" s="542"/>
      <c r="R58" s="542"/>
      <c r="S58" s="542"/>
    </row>
    <row r="59" spans="1:19" hidden="1">
      <c r="A59" s="704">
        <f t="shared" si="4"/>
        <v>2.4299999999999908</v>
      </c>
      <c r="B59" s="542"/>
      <c r="C59" s="686">
        <f t="shared" si="0"/>
        <v>0</v>
      </c>
      <c r="D59" s="686">
        <f t="shared" si="1"/>
        <v>0</v>
      </c>
      <c r="E59" s="686"/>
      <c r="F59" s="686"/>
      <c r="G59" s="686">
        <f t="shared" si="2"/>
        <v>0</v>
      </c>
      <c r="H59" s="686"/>
      <c r="I59" s="686">
        <f t="shared" si="5"/>
        <v>0</v>
      </c>
      <c r="J59" s="686">
        <f t="shared" si="5"/>
        <v>0</v>
      </c>
      <c r="K59" s="686">
        <f t="shared" si="5"/>
        <v>0</v>
      </c>
      <c r="L59" s="686"/>
      <c r="M59" s="542"/>
      <c r="N59" s="542"/>
      <c r="O59" s="542"/>
      <c r="P59" s="686"/>
      <c r="Q59" s="542"/>
      <c r="R59" s="542"/>
      <c r="S59" s="542"/>
    </row>
    <row r="60" spans="1:19" hidden="1">
      <c r="A60" s="704">
        <f t="shared" si="4"/>
        <v>2.4399999999999906</v>
      </c>
      <c r="B60" s="542"/>
      <c r="C60" s="686">
        <f t="shared" si="0"/>
        <v>0</v>
      </c>
      <c r="D60" s="686">
        <f t="shared" si="1"/>
        <v>0</v>
      </c>
      <c r="E60" s="686"/>
      <c r="F60" s="686"/>
      <c r="G60" s="686">
        <f t="shared" si="2"/>
        <v>0</v>
      </c>
      <c r="H60" s="686"/>
      <c r="I60" s="686">
        <f t="shared" si="5"/>
        <v>0</v>
      </c>
      <c r="J60" s="686">
        <f t="shared" si="5"/>
        <v>0</v>
      </c>
      <c r="K60" s="686">
        <f t="shared" si="5"/>
        <v>0</v>
      </c>
      <c r="L60" s="686"/>
      <c r="M60" s="542"/>
      <c r="N60" s="542"/>
      <c r="O60" s="542"/>
      <c r="P60" s="686"/>
      <c r="Q60" s="542"/>
      <c r="R60" s="542"/>
      <c r="S60" s="542"/>
    </row>
    <row r="61" spans="1:19" hidden="1">
      <c r="A61" s="704">
        <f t="shared" si="4"/>
        <v>2.4499999999999904</v>
      </c>
      <c r="B61" s="542"/>
      <c r="C61" s="686">
        <f t="shared" si="0"/>
        <v>0</v>
      </c>
      <c r="D61" s="686">
        <f t="shared" si="1"/>
        <v>0</v>
      </c>
      <c r="E61" s="686"/>
      <c r="F61" s="686"/>
      <c r="G61" s="686">
        <f t="shared" si="2"/>
        <v>0</v>
      </c>
      <c r="H61" s="686"/>
      <c r="I61" s="686">
        <f t="shared" si="5"/>
        <v>0</v>
      </c>
      <c r="J61" s="686">
        <f t="shared" si="5"/>
        <v>0</v>
      </c>
      <c r="K61" s="686">
        <f t="shared" si="5"/>
        <v>0</v>
      </c>
      <c r="L61" s="686"/>
      <c r="M61" s="542"/>
      <c r="N61" s="542"/>
      <c r="O61" s="542"/>
      <c r="P61" s="686"/>
      <c r="Q61" s="542"/>
      <c r="R61" s="542"/>
      <c r="S61" s="542"/>
    </row>
    <row r="62" spans="1:19" hidden="1">
      <c r="A62" s="704">
        <f t="shared" si="4"/>
        <v>2.4599999999999902</v>
      </c>
      <c r="B62" s="542"/>
      <c r="C62" s="686">
        <f t="shared" si="0"/>
        <v>0</v>
      </c>
      <c r="D62" s="686">
        <f t="shared" si="1"/>
        <v>0</v>
      </c>
      <c r="E62" s="686"/>
      <c r="F62" s="686"/>
      <c r="G62" s="686">
        <f t="shared" si="2"/>
        <v>0</v>
      </c>
      <c r="H62" s="686"/>
      <c r="I62" s="686">
        <f t="shared" si="5"/>
        <v>0</v>
      </c>
      <c r="J62" s="686">
        <f t="shared" si="5"/>
        <v>0</v>
      </c>
      <c r="K62" s="686">
        <f t="shared" si="5"/>
        <v>0</v>
      </c>
      <c r="L62" s="686"/>
      <c r="M62" s="542"/>
      <c r="N62" s="542"/>
      <c r="O62" s="542"/>
      <c r="P62" s="686"/>
      <c r="Q62" s="542"/>
      <c r="R62" s="542"/>
      <c r="S62" s="542"/>
    </row>
    <row r="63" spans="1:19" hidden="1">
      <c r="A63" s="704">
        <f t="shared" si="4"/>
        <v>2.46999999999999</v>
      </c>
      <c r="B63" s="542"/>
      <c r="C63" s="686">
        <f t="shared" si="0"/>
        <v>0</v>
      </c>
      <c r="D63" s="686">
        <f t="shared" si="1"/>
        <v>0</v>
      </c>
      <c r="E63" s="686"/>
      <c r="F63" s="686"/>
      <c r="G63" s="686">
        <f t="shared" si="2"/>
        <v>0</v>
      </c>
      <c r="H63" s="686"/>
      <c r="I63" s="686">
        <f t="shared" si="5"/>
        <v>0</v>
      </c>
      <c r="J63" s="686">
        <f t="shared" si="5"/>
        <v>0</v>
      </c>
      <c r="K63" s="686">
        <f t="shared" si="5"/>
        <v>0</v>
      </c>
      <c r="L63" s="686"/>
      <c r="M63" s="542"/>
      <c r="N63" s="542"/>
      <c r="O63" s="542"/>
      <c r="P63" s="686"/>
      <c r="Q63" s="542"/>
      <c r="R63" s="542"/>
      <c r="S63" s="542"/>
    </row>
    <row r="64" spans="1:19" hidden="1">
      <c r="A64" s="704">
        <f t="shared" si="4"/>
        <v>2.4799999999999898</v>
      </c>
      <c r="B64" s="542"/>
      <c r="C64" s="686">
        <f t="shared" si="0"/>
        <v>0</v>
      </c>
      <c r="D64" s="686">
        <f t="shared" si="1"/>
        <v>0</v>
      </c>
      <c r="E64" s="686"/>
      <c r="F64" s="686"/>
      <c r="G64" s="686">
        <f t="shared" si="2"/>
        <v>0</v>
      </c>
      <c r="H64" s="686"/>
      <c r="I64" s="686">
        <f t="shared" si="5"/>
        <v>0</v>
      </c>
      <c r="J64" s="686">
        <f t="shared" si="5"/>
        <v>0</v>
      </c>
      <c r="K64" s="686">
        <f t="shared" si="5"/>
        <v>0</v>
      </c>
      <c r="L64" s="686"/>
      <c r="M64" s="542"/>
      <c r="N64" s="542"/>
      <c r="O64" s="542"/>
      <c r="P64" s="686"/>
      <c r="Q64" s="542"/>
      <c r="R64" s="542"/>
      <c r="S64" s="542"/>
    </row>
    <row r="65" spans="1:19" hidden="1">
      <c r="A65" s="704">
        <f t="shared" si="4"/>
        <v>2.4899999999999896</v>
      </c>
      <c r="B65" s="542"/>
      <c r="C65" s="686">
        <f t="shared" si="0"/>
        <v>0</v>
      </c>
      <c r="D65" s="686">
        <f t="shared" si="1"/>
        <v>0</v>
      </c>
      <c r="E65" s="686"/>
      <c r="F65" s="686"/>
      <c r="G65" s="686">
        <f t="shared" si="2"/>
        <v>0</v>
      </c>
      <c r="H65" s="686"/>
      <c r="I65" s="686">
        <f t="shared" si="5"/>
        <v>0</v>
      </c>
      <c r="J65" s="686">
        <f t="shared" si="5"/>
        <v>0</v>
      </c>
      <c r="K65" s="686">
        <f t="shared" si="5"/>
        <v>0</v>
      </c>
      <c r="L65" s="686"/>
      <c r="M65" s="542"/>
      <c r="N65" s="542"/>
      <c r="O65" s="542"/>
      <c r="P65" s="686"/>
      <c r="Q65" s="542"/>
      <c r="R65" s="542"/>
      <c r="S65" s="542"/>
    </row>
    <row r="66" spans="1:19" hidden="1">
      <c r="A66" s="704">
        <f t="shared" si="4"/>
        <v>2.4999999999999893</v>
      </c>
      <c r="B66" s="542"/>
      <c r="C66" s="686">
        <f t="shared" si="0"/>
        <v>0</v>
      </c>
      <c r="D66" s="686">
        <f t="shared" si="1"/>
        <v>0</v>
      </c>
      <c r="E66" s="686"/>
      <c r="F66" s="686"/>
      <c r="G66" s="686">
        <f t="shared" si="2"/>
        <v>0</v>
      </c>
      <c r="H66" s="686"/>
      <c r="I66" s="686">
        <f t="shared" si="5"/>
        <v>0</v>
      </c>
      <c r="J66" s="686">
        <f t="shared" si="5"/>
        <v>0</v>
      </c>
      <c r="K66" s="686">
        <f t="shared" si="5"/>
        <v>0</v>
      </c>
      <c r="L66" s="686"/>
      <c r="M66" s="542"/>
      <c r="N66" s="542"/>
      <c r="O66" s="542"/>
      <c r="P66" s="686"/>
      <c r="Q66" s="542"/>
      <c r="R66" s="542"/>
      <c r="S66" s="542"/>
    </row>
    <row r="67" spans="1:19" hidden="1">
      <c r="A67" s="704">
        <f t="shared" si="4"/>
        <v>2.5099999999999891</v>
      </c>
      <c r="B67" s="542"/>
      <c r="C67" s="686">
        <f t="shared" si="0"/>
        <v>0</v>
      </c>
      <c r="D67" s="686">
        <f t="shared" si="1"/>
        <v>0</v>
      </c>
      <c r="E67" s="686"/>
      <c r="F67" s="686"/>
      <c r="G67" s="686">
        <f t="shared" si="2"/>
        <v>0</v>
      </c>
      <c r="H67" s="686"/>
      <c r="I67" s="686">
        <f t="shared" si="5"/>
        <v>0</v>
      </c>
      <c r="J67" s="686">
        <f t="shared" si="5"/>
        <v>0</v>
      </c>
      <c r="K67" s="686">
        <f t="shared" si="5"/>
        <v>0</v>
      </c>
      <c r="L67" s="686"/>
      <c r="M67" s="542"/>
      <c r="N67" s="542"/>
      <c r="O67" s="542"/>
      <c r="P67" s="686"/>
      <c r="Q67" s="542"/>
      <c r="R67" s="542"/>
      <c r="S67" s="542"/>
    </row>
    <row r="68" spans="1:19" hidden="1">
      <c r="A68" s="704">
        <f t="shared" si="4"/>
        <v>2.5199999999999889</v>
      </c>
      <c r="B68" s="542"/>
      <c r="C68" s="686">
        <f t="shared" si="0"/>
        <v>0</v>
      </c>
      <c r="D68" s="686">
        <f t="shared" si="1"/>
        <v>0</v>
      </c>
      <c r="E68" s="686"/>
      <c r="F68" s="686"/>
      <c r="G68" s="686">
        <f t="shared" si="2"/>
        <v>0</v>
      </c>
      <c r="H68" s="686"/>
      <c r="I68" s="686">
        <f t="shared" si="5"/>
        <v>0</v>
      </c>
      <c r="J68" s="686">
        <f t="shared" si="5"/>
        <v>0</v>
      </c>
      <c r="K68" s="686">
        <f t="shared" si="5"/>
        <v>0</v>
      </c>
      <c r="L68" s="686"/>
      <c r="M68" s="542"/>
      <c r="N68" s="542"/>
      <c r="O68" s="542"/>
      <c r="P68" s="686"/>
      <c r="Q68" s="542"/>
      <c r="R68" s="542"/>
      <c r="S68" s="542"/>
    </row>
    <row r="69" spans="1:19" hidden="1">
      <c r="A69" s="704">
        <f t="shared" si="4"/>
        <v>2.5299999999999887</v>
      </c>
      <c r="B69" s="542"/>
      <c r="C69" s="686">
        <f t="shared" si="0"/>
        <v>0</v>
      </c>
      <c r="D69" s="686">
        <f t="shared" si="1"/>
        <v>0</v>
      </c>
      <c r="E69" s="686"/>
      <c r="F69" s="686"/>
      <c r="G69" s="686">
        <f t="shared" si="2"/>
        <v>0</v>
      </c>
      <c r="H69" s="686"/>
      <c r="I69" s="686">
        <f t="shared" si="5"/>
        <v>0</v>
      </c>
      <c r="J69" s="686">
        <f t="shared" si="5"/>
        <v>0</v>
      </c>
      <c r="K69" s="686">
        <f t="shared" si="5"/>
        <v>0</v>
      </c>
      <c r="L69" s="686"/>
      <c r="M69" s="542"/>
      <c r="N69" s="542"/>
      <c r="O69" s="542"/>
      <c r="P69" s="686"/>
      <c r="Q69" s="542"/>
      <c r="R69" s="542"/>
      <c r="S69" s="542"/>
    </row>
    <row r="70" spans="1:19" hidden="1">
      <c r="A70" s="704">
        <f t="shared" si="4"/>
        <v>2.5399999999999885</v>
      </c>
      <c r="B70" s="542"/>
      <c r="C70" s="686">
        <f t="shared" si="0"/>
        <v>0</v>
      </c>
      <c r="D70" s="686">
        <f t="shared" si="1"/>
        <v>0</v>
      </c>
      <c r="E70" s="686"/>
      <c r="F70" s="686"/>
      <c r="G70" s="686">
        <f t="shared" si="2"/>
        <v>0</v>
      </c>
      <c r="H70" s="686"/>
      <c r="I70" s="686">
        <f t="shared" si="5"/>
        <v>0</v>
      </c>
      <c r="J70" s="686">
        <f t="shared" si="5"/>
        <v>0</v>
      </c>
      <c r="K70" s="686">
        <f t="shared" si="5"/>
        <v>0</v>
      </c>
      <c r="L70" s="686"/>
      <c r="M70" s="542"/>
      <c r="N70" s="542"/>
      <c r="O70" s="542"/>
      <c r="P70" s="686"/>
      <c r="Q70" s="542"/>
      <c r="R70" s="542"/>
      <c r="S70" s="542"/>
    </row>
    <row r="71" spans="1:19" hidden="1">
      <c r="A71" s="704">
        <f t="shared" si="4"/>
        <v>2.5499999999999883</v>
      </c>
      <c r="B71" s="542"/>
      <c r="C71" s="686">
        <f t="shared" si="0"/>
        <v>0</v>
      </c>
      <c r="D71" s="686">
        <f t="shared" si="1"/>
        <v>0</v>
      </c>
      <c r="E71" s="686"/>
      <c r="F71" s="686"/>
      <c r="G71" s="686">
        <f t="shared" si="2"/>
        <v>0</v>
      </c>
      <c r="H71" s="686"/>
      <c r="I71" s="686">
        <f t="shared" si="5"/>
        <v>0</v>
      </c>
      <c r="J71" s="686">
        <f t="shared" si="5"/>
        <v>0</v>
      </c>
      <c r="K71" s="686">
        <f t="shared" si="5"/>
        <v>0</v>
      </c>
      <c r="L71" s="686"/>
      <c r="M71" s="542"/>
      <c r="N71" s="542"/>
      <c r="O71" s="542"/>
      <c r="P71" s="686"/>
      <c r="Q71" s="542"/>
      <c r="R71" s="542"/>
      <c r="S71" s="542"/>
    </row>
    <row r="72" spans="1:19" hidden="1">
      <c r="A72" s="704">
        <f t="shared" si="4"/>
        <v>2.5599999999999881</v>
      </c>
      <c r="B72" s="542"/>
      <c r="C72" s="686">
        <f t="shared" si="0"/>
        <v>0</v>
      </c>
      <c r="D72" s="686">
        <f t="shared" si="1"/>
        <v>0</v>
      </c>
      <c r="E72" s="686"/>
      <c r="F72" s="686"/>
      <c r="G72" s="686">
        <f t="shared" si="2"/>
        <v>0</v>
      </c>
      <c r="H72" s="686"/>
      <c r="I72" s="686">
        <f t="shared" si="5"/>
        <v>0</v>
      </c>
      <c r="J72" s="686">
        <f t="shared" si="5"/>
        <v>0</v>
      </c>
      <c r="K72" s="686">
        <f t="shared" si="5"/>
        <v>0</v>
      </c>
      <c r="L72" s="686"/>
      <c r="M72" s="542"/>
      <c r="N72" s="542"/>
      <c r="O72" s="542"/>
      <c r="P72" s="686"/>
      <c r="Q72" s="542"/>
      <c r="R72" s="542"/>
      <c r="S72" s="542"/>
    </row>
    <row r="73" spans="1:19" hidden="1">
      <c r="A73" s="704">
        <f t="shared" si="4"/>
        <v>2.5699999999999878</v>
      </c>
      <c r="B73" s="542"/>
      <c r="C73" s="686">
        <f t="shared" si="0"/>
        <v>0</v>
      </c>
      <c r="D73" s="686">
        <f t="shared" si="1"/>
        <v>0</v>
      </c>
      <c r="E73" s="686"/>
      <c r="F73" s="686"/>
      <c r="G73" s="686">
        <f t="shared" si="2"/>
        <v>0</v>
      </c>
      <c r="H73" s="686"/>
      <c r="I73" s="686">
        <f t="shared" si="5"/>
        <v>0</v>
      </c>
      <c r="J73" s="686">
        <f t="shared" si="5"/>
        <v>0</v>
      </c>
      <c r="K73" s="686">
        <f t="shared" si="5"/>
        <v>0</v>
      </c>
      <c r="L73" s="686"/>
      <c r="M73" s="542"/>
      <c r="N73" s="542"/>
      <c r="O73" s="542"/>
      <c r="P73" s="686"/>
      <c r="Q73" s="542"/>
      <c r="R73" s="542"/>
      <c r="S73" s="542"/>
    </row>
    <row r="74" spans="1:19" hidden="1">
      <c r="A74" s="704">
        <f t="shared" si="4"/>
        <v>2.5799999999999876</v>
      </c>
      <c r="B74" s="542"/>
      <c r="C74" s="686">
        <f t="shared" si="0"/>
        <v>0</v>
      </c>
      <c r="D74" s="686">
        <f t="shared" si="1"/>
        <v>0</v>
      </c>
      <c r="E74" s="686"/>
      <c r="F74" s="686"/>
      <c r="G74" s="686">
        <f t="shared" si="2"/>
        <v>0</v>
      </c>
      <c r="H74" s="686"/>
      <c r="I74" s="686">
        <f t="shared" si="5"/>
        <v>0</v>
      </c>
      <c r="J74" s="686">
        <f t="shared" si="5"/>
        <v>0</v>
      </c>
      <c r="K74" s="686">
        <f t="shared" si="5"/>
        <v>0</v>
      </c>
      <c r="L74" s="686"/>
      <c r="M74" s="542"/>
      <c r="N74" s="542"/>
      <c r="O74" s="542"/>
      <c r="P74" s="686"/>
      <c r="Q74" s="542"/>
      <c r="R74" s="542"/>
      <c r="S74" s="542"/>
    </row>
    <row r="75" spans="1:19" hidden="1">
      <c r="A75" s="704">
        <f t="shared" si="4"/>
        <v>2.5899999999999874</v>
      </c>
      <c r="B75" s="542"/>
      <c r="C75" s="686">
        <f t="shared" si="0"/>
        <v>0</v>
      </c>
      <c r="D75" s="686">
        <f t="shared" si="1"/>
        <v>0</v>
      </c>
      <c r="E75" s="686"/>
      <c r="F75" s="686"/>
      <c r="G75" s="686">
        <f t="shared" si="2"/>
        <v>0</v>
      </c>
      <c r="H75" s="686"/>
      <c r="I75" s="686">
        <f t="shared" si="5"/>
        <v>0</v>
      </c>
      <c r="J75" s="686">
        <f t="shared" si="5"/>
        <v>0</v>
      </c>
      <c r="K75" s="686">
        <f t="shared" si="5"/>
        <v>0</v>
      </c>
      <c r="L75" s="686"/>
      <c r="M75" s="542"/>
      <c r="N75" s="542"/>
      <c r="O75" s="542"/>
      <c r="P75" s="686"/>
      <c r="Q75" s="542"/>
      <c r="R75" s="542"/>
      <c r="S75" s="542"/>
    </row>
    <row r="76" spans="1:19" hidden="1">
      <c r="A76" s="704">
        <f t="shared" si="4"/>
        <v>2.5999999999999872</v>
      </c>
      <c r="B76" s="542"/>
      <c r="C76" s="686">
        <f t="shared" si="0"/>
        <v>0</v>
      </c>
      <c r="D76" s="686">
        <f t="shared" si="1"/>
        <v>0</v>
      </c>
      <c r="E76" s="686"/>
      <c r="F76" s="686"/>
      <c r="G76" s="686">
        <f t="shared" si="2"/>
        <v>0</v>
      </c>
      <c r="H76" s="686"/>
      <c r="I76" s="686">
        <f t="shared" si="5"/>
        <v>0</v>
      </c>
      <c r="J76" s="686">
        <f t="shared" si="5"/>
        <v>0</v>
      </c>
      <c r="K76" s="686">
        <f t="shared" si="5"/>
        <v>0</v>
      </c>
      <c r="L76" s="686"/>
      <c r="M76" s="542"/>
      <c r="N76" s="542"/>
      <c r="O76" s="542"/>
      <c r="P76" s="686"/>
      <c r="Q76" s="542"/>
      <c r="R76" s="542"/>
      <c r="S76" s="542"/>
    </row>
    <row r="77" spans="1:19" hidden="1">
      <c r="A77" s="704">
        <f t="shared" si="4"/>
        <v>2.609999999999987</v>
      </c>
      <c r="B77" s="542"/>
      <c r="C77" s="691">
        <f t="shared" si="0"/>
        <v>0</v>
      </c>
      <c r="D77" s="691">
        <f t="shared" si="1"/>
        <v>0</v>
      </c>
      <c r="E77" s="691"/>
      <c r="F77" s="691"/>
      <c r="G77" s="691">
        <f t="shared" si="2"/>
        <v>0</v>
      </c>
      <c r="H77" s="691"/>
      <c r="I77" s="691">
        <f t="shared" si="5"/>
        <v>0</v>
      </c>
      <c r="J77" s="691">
        <f t="shared" si="5"/>
        <v>0</v>
      </c>
      <c r="K77" s="691">
        <f t="shared" si="5"/>
        <v>0</v>
      </c>
      <c r="L77" s="691"/>
      <c r="M77" s="542"/>
      <c r="N77" s="542"/>
      <c r="O77" s="542"/>
      <c r="P77" s="691"/>
      <c r="Q77" s="542"/>
      <c r="R77" s="542"/>
      <c r="S77" s="542"/>
    </row>
    <row r="78" spans="1:19" hidden="1">
      <c r="A78" s="704">
        <f t="shared" si="4"/>
        <v>2.6199999999999868</v>
      </c>
      <c r="B78" s="542"/>
      <c r="C78" s="691">
        <f t="shared" si="0"/>
        <v>0</v>
      </c>
      <c r="D78" s="691">
        <f t="shared" si="1"/>
        <v>0</v>
      </c>
      <c r="E78" s="691"/>
      <c r="F78" s="691"/>
      <c r="G78" s="691">
        <f t="shared" si="2"/>
        <v>0</v>
      </c>
      <c r="H78" s="691"/>
      <c r="I78" s="691">
        <f t="shared" si="5"/>
        <v>0</v>
      </c>
      <c r="J78" s="691">
        <f t="shared" si="5"/>
        <v>0</v>
      </c>
      <c r="K78" s="691">
        <f t="shared" si="5"/>
        <v>0</v>
      </c>
      <c r="L78" s="691"/>
      <c r="M78" s="542"/>
      <c r="N78" s="542"/>
      <c r="O78" s="542"/>
      <c r="P78" s="691"/>
      <c r="Q78" s="542"/>
      <c r="R78" s="542"/>
      <c r="S78" s="542"/>
    </row>
    <row r="79" spans="1:19" hidden="1">
      <c r="A79" s="704">
        <f t="shared" si="4"/>
        <v>2.6299999999999866</v>
      </c>
      <c r="B79" s="542"/>
      <c r="C79" s="686">
        <f t="shared" si="0"/>
        <v>0</v>
      </c>
      <c r="D79" s="686">
        <f t="shared" si="1"/>
        <v>0</v>
      </c>
      <c r="E79" s="686"/>
      <c r="F79" s="686"/>
      <c r="G79" s="686">
        <f t="shared" si="2"/>
        <v>0</v>
      </c>
      <c r="H79" s="686"/>
      <c r="I79" s="686">
        <f t="shared" si="5"/>
        <v>0</v>
      </c>
      <c r="J79" s="686">
        <f t="shared" si="5"/>
        <v>0</v>
      </c>
      <c r="K79" s="686">
        <f t="shared" si="5"/>
        <v>0</v>
      </c>
      <c r="L79" s="686"/>
      <c r="M79" s="542"/>
      <c r="N79" s="542"/>
      <c r="O79" s="542"/>
      <c r="P79" s="686"/>
      <c r="Q79" s="542"/>
      <c r="R79" s="542"/>
      <c r="S79" s="542"/>
    </row>
    <row r="80" spans="1:19" hidden="1">
      <c r="A80" s="704">
        <f t="shared" si="4"/>
        <v>2.6399999999999864</v>
      </c>
      <c r="B80" s="542"/>
      <c r="C80" s="686">
        <f t="shared" si="0"/>
        <v>0</v>
      </c>
      <c r="D80" s="686">
        <f t="shared" si="1"/>
        <v>0</v>
      </c>
      <c r="E80" s="686"/>
      <c r="F80" s="686"/>
      <c r="G80" s="686">
        <f t="shared" si="2"/>
        <v>0</v>
      </c>
      <c r="H80" s="686"/>
      <c r="I80" s="686">
        <f t="shared" si="5"/>
        <v>0</v>
      </c>
      <c r="J80" s="686">
        <f t="shared" si="5"/>
        <v>0</v>
      </c>
      <c r="K80" s="686">
        <f t="shared" si="5"/>
        <v>0</v>
      </c>
      <c r="L80" s="686"/>
      <c r="M80" s="542"/>
      <c r="N80" s="542"/>
      <c r="O80" s="542"/>
      <c r="P80" s="686"/>
      <c r="Q80" s="542"/>
      <c r="R80" s="542"/>
      <c r="S80" s="542"/>
    </row>
    <row r="81" spans="1:19" hidden="1">
      <c r="A81" s="704">
        <f t="shared" si="4"/>
        <v>2.6499999999999861</v>
      </c>
      <c r="B81" s="542"/>
      <c r="C81" s="686">
        <f t="shared" ref="C81:C95" si="6">SUM(M81:O81)</f>
        <v>0</v>
      </c>
      <c r="D81" s="686">
        <f t="shared" ref="D81:D95" si="7">SUM(Q81:S81)</f>
        <v>0</v>
      </c>
      <c r="E81" s="686"/>
      <c r="F81" s="686"/>
      <c r="G81" s="686">
        <f t="shared" ref="G81:G107" si="8">ROUND(SUM(C81:F81)/2,0)</f>
        <v>0</v>
      </c>
      <c r="H81" s="686"/>
      <c r="I81" s="686">
        <f t="shared" ref="I81:K95" si="9">(M81+Q81)/2</f>
        <v>0</v>
      </c>
      <c r="J81" s="686">
        <f t="shared" si="9"/>
        <v>0</v>
      </c>
      <c r="K81" s="686">
        <f t="shared" si="9"/>
        <v>0</v>
      </c>
      <c r="L81" s="686"/>
      <c r="M81" s="542"/>
      <c r="N81" s="542"/>
      <c r="O81" s="542"/>
      <c r="P81" s="686"/>
      <c r="Q81" s="542"/>
      <c r="R81" s="542"/>
      <c r="S81" s="542"/>
    </row>
    <row r="82" spans="1:19" hidden="1">
      <c r="A82" s="704">
        <f t="shared" si="4"/>
        <v>2.6599999999999859</v>
      </c>
      <c r="B82" s="542"/>
      <c r="C82" s="686">
        <f t="shared" si="6"/>
        <v>0</v>
      </c>
      <c r="D82" s="686">
        <f t="shared" si="7"/>
        <v>0</v>
      </c>
      <c r="E82" s="686"/>
      <c r="F82" s="686"/>
      <c r="G82" s="686">
        <f t="shared" si="8"/>
        <v>0</v>
      </c>
      <c r="H82" s="686"/>
      <c r="I82" s="686">
        <f t="shared" si="9"/>
        <v>0</v>
      </c>
      <c r="J82" s="686">
        <f t="shared" si="9"/>
        <v>0</v>
      </c>
      <c r="K82" s="686">
        <f t="shared" si="9"/>
        <v>0</v>
      </c>
      <c r="L82" s="686"/>
      <c r="M82" s="542"/>
      <c r="N82" s="542"/>
      <c r="O82" s="542"/>
      <c r="P82" s="686"/>
      <c r="Q82" s="542"/>
      <c r="R82" s="542"/>
      <c r="S82" s="542"/>
    </row>
    <row r="83" spans="1:19" hidden="1">
      <c r="A83" s="704">
        <f t="shared" ref="A83:A107" si="10">A82+0.01</f>
        <v>2.6699999999999857</v>
      </c>
      <c r="B83" s="542"/>
      <c r="C83" s="686">
        <f t="shared" si="6"/>
        <v>0</v>
      </c>
      <c r="D83" s="686">
        <f t="shared" si="7"/>
        <v>0</v>
      </c>
      <c r="E83" s="686"/>
      <c r="F83" s="686"/>
      <c r="G83" s="686">
        <f t="shared" si="8"/>
        <v>0</v>
      </c>
      <c r="H83" s="686"/>
      <c r="I83" s="686">
        <f t="shared" si="9"/>
        <v>0</v>
      </c>
      <c r="J83" s="686">
        <f t="shared" si="9"/>
        <v>0</v>
      </c>
      <c r="K83" s="686">
        <f t="shared" si="9"/>
        <v>0</v>
      </c>
      <c r="L83" s="686"/>
      <c r="M83" s="542"/>
      <c r="N83" s="542"/>
      <c r="O83" s="542"/>
      <c r="P83" s="686"/>
      <c r="Q83" s="542"/>
      <c r="R83" s="542"/>
      <c r="S83" s="542"/>
    </row>
    <row r="84" spans="1:19" hidden="1">
      <c r="A84" s="704">
        <f t="shared" si="10"/>
        <v>2.6799999999999855</v>
      </c>
      <c r="B84" s="542"/>
      <c r="C84" s="686">
        <f t="shared" si="6"/>
        <v>0</v>
      </c>
      <c r="D84" s="686">
        <f t="shared" si="7"/>
        <v>0</v>
      </c>
      <c r="E84" s="686"/>
      <c r="F84" s="686"/>
      <c r="G84" s="686">
        <f t="shared" si="8"/>
        <v>0</v>
      </c>
      <c r="H84" s="686"/>
      <c r="I84" s="686">
        <f t="shared" si="9"/>
        <v>0</v>
      </c>
      <c r="J84" s="686">
        <f t="shared" si="9"/>
        <v>0</v>
      </c>
      <c r="K84" s="686">
        <f t="shared" si="9"/>
        <v>0</v>
      </c>
      <c r="L84" s="686"/>
      <c r="M84" s="542"/>
      <c r="N84" s="542"/>
      <c r="O84" s="542"/>
      <c r="P84" s="686"/>
      <c r="Q84" s="542"/>
      <c r="R84" s="542"/>
      <c r="S84" s="542"/>
    </row>
    <row r="85" spans="1:19" hidden="1">
      <c r="A85" s="704">
        <f t="shared" si="10"/>
        <v>2.6899999999999853</v>
      </c>
      <c r="B85" s="542"/>
      <c r="C85" s="686">
        <f t="shared" si="6"/>
        <v>0</v>
      </c>
      <c r="D85" s="686">
        <f t="shared" si="7"/>
        <v>0</v>
      </c>
      <c r="E85" s="686"/>
      <c r="F85" s="686"/>
      <c r="G85" s="686">
        <f t="shared" si="8"/>
        <v>0</v>
      </c>
      <c r="H85" s="686"/>
      <c r="I85" s="686">
        <f t="shared" si="9"/>
        <v>0</v>
      </c>
      <c r="J85" s="686">
        <f t="shared" si="9"/>
        <v>0</v>
      </c>
      <c r="K85" s="686">
        <f t="shared" si="9"/>
        <v>0</v>
      </c>
      <c r="L85" s="686"/>
      <c r="M85" s="542"/>
      <c r="N85" s="542"/>
      <c r="O85" s="542"/>
      <c r="P85" s="686"/>
      <c r="Q85" s="542"/>
      <c r="R85" s="542"/>
      <c r="S85" s="542"/>
    </row>
    <row r="86" spans="1:19" hidden="1">
      <c r="A86" s="704">
        <f t="shared" si="10"/>
        <v>2.6999999999999851</v>
      </c>
      <c r="B86" s="542"/>
      <c r="C86" s="686">
        <f t="shared" si="6"/>
        <v>0</v>
      </c>
      <c r="D86" s="686">
        <f t="shared" si="7"/>
        <v>0</v>
      </c>
      <c r="E86" s="686"/>
      <c r="F86" s="686"/>
      <c r="G86" s="686">
        <f t="shared" si="8"/>
        <v>0</v>
      </c>
      <c r="H86" s="686"/>
      <c r="I86" s="686">
        <f t="shared" si="9"/>
        <v>0</v>
      </c>
      <c r="J86" s="686">
        <f t="shared" si="9"/>
        <v>0</v>
      </c>
      <c r="K86" s="686">
        <f t="shared" si="9"/>
        <v>0</v>
      </c>
      <c r="L86" s="686"/>
      <c r="M86" s="542"/>
      <c r="N86" s="542"/>
      <c r="O86" s="542"/>
      <c r="P86" s="686"/>
      <c r="Q86" s="542"/>
      <c r="R86" s="542"/>
      <c r="S86" s="542"/>
    </row>
    <row r="87" spans="1:19" hidden="1">
      <c r="A87" s="704">
        <f t="shared" si="10"/>
        <v>2.7099999999999849</v>
      </c>
      <c r="B87" s="542"/>
      <c r="C87" s="686">
        <f t="shared" si="6"/>
        <v>0</v>
      </c>
      <c r="D87" s="686">
        <f t="shared" si="7"/>
        <v>0</v>
      </c>
      <c r="E87" s="686"/>
      <c r="F87" s="686"/>
      <c r="G87" s="686">
        <f t="shared" si="8"/>
        <v>0</v>
      </c>
      <c r="H87" s="686"/>
      <c r="I87" s="686">
        <f t="shared" si="9"/>
        <v>0</v>
      </c>
      <c r="J87" s="686">
        <f t="shared" si="9"/>
        <v>0</v>
      </c>
      <c r="K87" s="686">
        <f t="shared" si="9"/>
        <v>0</v>
      </c>
      <c r="L87" s="686"/>
      <c r="M87" s="542"/>
      <c r="N87" s="542"/>
      <c r="O87" s="542"/>
      <c r="P87" s="686"/>
      <c r="Q87" s="542"/>
      <c r="R87" s="542"/>
      <c r="S87" s="542"/>
    </row>
    <row r="88" spans="1:19" hidden="1">
      <c r="A88" s="704">
        <f t="shared" si="10"/>
        <v>2.7199999999999847</v>
      </c>
      <c r="B88" s="542"/>
      <c r="C88" s="686">
        <f t="shared" si="6"/>
        <v>0</v>
      </c>
      <c r="D88" s="686">
        <f t="shared" si="7"/>
        <v>0</v>
      </c>
      <c r="E88" s="686"/>
      <c r="F88" s="686"/>
      <c r="G88" s="686">
        <f t="shared" si="8"/>
        <v>0</v>
      </c>
      <c r="H88" s="686"/>
      <c r="I88" s="686">
        <f t="shared" si="9"/>
        <v>0</v>
      </c>
      <c r="J88" s="686">
        <f t="shared" si="9"/>
        <v>0</v>
      </c>
      <c r="K88" s="686">
        <f t="shared" si="9"/>
        <v>0</v>
      </c>
      <c r="L88" s="686"/>
      <c r="M88" s="542"/>
      <c r="N88" s="542"/>
      <c r="O88" s="542"/>
      <c r="P88" s="686"/>
      <c r="Q88" s="542"/>
      <c r="R88" s="542"/>
      <c r="S88" s="542"/>
    </row>
    <row r="89" spans="1:19" hidden="1">
      <c r="A89" s="704">
        <f t="shared" si="10"/>
        <v>2.7299999999999844</v>
      </c>
      <c r="B89" s="542"/>
      <c r="C89" s="686">
        <f t="shared" si="6"/>
        <v>0</v>
      </c>
      <c r="D89" s="686">
        <f t="shared" si="7"/>
        <v>0</v>
      </c>
      <c r="E89" s="686"/>
      <c r="F89" s="686"/>
      <c r="G89" s="686">
        <f t="shared" si="8"/>
        <v>0</v>
      </c>
      <c r="H89" s="686"/>
      <c r="I89" s="686">
        <f t="shared" si="9"/>
        <v>0</v>
      </c>
      <c r="J89" s="686">
        <f t="shared" si="9"/>
        <v>0</v>
      </c>
      <c r="K89" s="686">
        <f t="shared" si="9"/>
        <v>0</v>
      </c>
      <c r="L89" s="686"/>
      <c r="M89" s="542"/>
      <c r="N89" s="542"/>
      <c r="O89" s="542"/>
      <c r="P89" s="686"/>
      <c r="Q89" s="542"/>
      <c r="R89" s="542"/>
      <c r="S89" s="542"/>
    </row>
    <row r="90" spans="1:19" hidden="1">
      <c r="A90" s="704">
        <f t="shared" si="10"/>
        <v>2.7399999999999842</v>
      </c>
      <c r="B90" s="542"/>
      <c r="C90" s="686">
        <f t="shared" si="6"/>
        <v>0</v>
      </c>
      <c r="D90" s="686">
        <f t="shared" si="7"/>
        <v>0</v>
      </c>
      <c r="E90" s="686"/>
      <c r="F90" s="686"/>
      <c r="G90" s="686">
        <f t="shared" si="8"/>
        <v>0</v>
      </c>
      <c r="H90" s="686"/>
      <c r="I90" s="686">
        <f t="shared" si="9"/>
        <v>0</v>
      </c>
      <c r="J90" s="686">
        <f t="shared" si="9"/>
        <v>0</v>
      </c>
      <c r="K90" s="686">
        <f t="shared" si="9"/>
        <v>0</v>
      </c>
      <c r="L90" s="686"/>
      <c r="M90" s="542"/>
      <c r="N90" s="542"/>
      <c r="O90" s="542"/>
      <c r="P90" s="686"/>
      <c r="Q90" s="542"/>
      <c r="R90" s="542"/>
      <c r="S90" s="542"/>
    </row>
    <row r="91" spans="1:19" hidden="1">
      <c r="A91" s="704">
        <f t="shared" si="10"/>
        <v>2.749999999999984</v>
      </c>
      <c r="B91" s="542"/>
      <c r="C91" s="686">
        <f t="shared" si="6"/>
        <v>0</v>
      </c>
      <c r="D91" s="686">
        <f t="shared" si="7"/>
        <v>0</v>
      </c>
      <c r="E91" s="686"/>
      <c r="F91" s="686"/>
      <c r="G91" s="686">
        <f t="shared" si="8"/>
        <v>0</v>
      </c>
      <c r="H91" s="686"/>
      <c r="I91" s="686">
        <f t="shared" si="9"/>
        <v>0</v>
      </c>
      <c r="J91" s="686">
        <f t="shared" si="9"/>
        <v>0</v>
      </c>
      <c r="K91" s="686">
        <f t="shared" si="9"/>
        <v>0</v>
      </c>
      <c r="L91" s="686"/>
      <c r="M91" s="542"/>
      <c r="N91" s="542"/>
      <c r="O91" s="542"/>
      <c r="P91" s="686"/>
      <c r="Q91" s="542"/>
      <c r="R91" s="542"/>
      <c r="S91" s="542"/>
    </row>
    <row r="92" spans="1:19" hidden="1">
      <c r="A92" s="704">
        <f t="shared" si="10"/>
        <v>2.7599999999999838</v>
      </c>
      <c r="B92" s="542"/>
      <c r="C92" s="686">
        <f t="shared" si="6"/>
        <v>0</v>
      </c>
      <c r="D92" s="686">
        <f t="shared" si="7"/>
        <v>0</v>
      </c>
      <c r="E92" s="686"/>
      <c r="F92" s="686"/>
      <c r="G92" s="686">
        <f t="shared" si="8"/>
        <v>0</v>
      </c>
      <c r="H92" s="686"/>
      <c r="I92" s="686">
        <f t="shared" si="9"/>
        <v>0</v>
      </c>
      <c r="J92" s="686">
        <f t="shared" si="9"/>
        <v>0</v>
      </c>
      <c r="K92" s="686">
        <f t="shared" si="9"/>
        <v>0</v>
      </c>
      <c r="L92" s="686"/>
      <c r="M92" s="542"/>
      <c r="N92" s="542"/>
      <c r="O92" s="542"/>
      <c r="P92" s="686"/>
      <c r="Q92" s="542"/>
      <c r="R92" s="542"/>
      <c r="S92" s="542"/>
    </row>
    <row r="93" spans="1:19" hidden="1">
      <c r="A93" s="704">
        <f t="shared" si="10"/>
        <v>2.7699999999999836</v>
      </c>
      <c r="B93" s="542"/>
      <c r="C93" s="686">
        <f t="shared" si="6"/>
        <v>0</v>
      </c>
      <c r="D93" s="686">
        <f t="shared" si="7"/>
        <v>0</v>
      </c>
      <c r="E93" s="686"/>
      <c r="F93" s="686"/>
      <c r="G93" s="686">
        <f t="shared" si="8"/>
        <v>0</v>
      </c>
      <c r="H93" s="686"/>
      <c r="I93" s="686">
        <f t="shared" si="9"/>
        <v>0</v>
      </c>
      <c r="J93" s="686">
        <f t="shared" si="9"/>
        <v>0</v>
      </c>
      <c r="K93" s="686">
        <f t="shared" si="9"/>
        <v>0</v>
      </c>
      <c r="L93" s="686"/>
      <c r="M93" s="542"/>
      <c r="N93" s="542"/>
      <c r="O93" s="542"/>
      <c r="P93" s="686"/>
      <c r="Q93" s="542"/>
      <c r="R93" s="542"/>
      <c r="S93" s="542"/>
    </row>
    <row r="94" spans="1:19" hidden="1">
      <c r="A94" s="704">
        <f t="shared" si="10"/>
        <v>2.7799999999999834</v>
      </c>
      <c r="B94" s="542"/>
      <c r="C94" s="686">
        <f t="shared" si="6"/>
        <v>0</v>
      </c>
      <c r="D94" s="686">
        <f t="shared" si="7"/>
        <v>0</v>
      </c>
      <c r="E94" s="686"/>
      <c r="F94" s="686"/>
      <c r="G94" s="686">
        <f t="shared" si="8"/>
        <v>0</v>
      </c>
      <c r="H94" s="686"/>
      <c r="I94" s="686">
        <f t="shared" si="9"/>
        <v>0</v>
      </c>
      <c r="J94" s="686">
        <f t="shared" si="9"/>
        <v>0</v>
      </c>
      <c r="K94" s="686">
        <f t="shared" si="9"/>
        <v>0</v>
      </c>
      <c r="L94" s="686"/>
      <c r="M94" s="542"/>
      <c r="N94" s="542"/>
      <c r="O94" s="542"/>
      <c r="P94" s="686"/>
      <c r="Q94" s="542"/>
      <c r="R94" s="542"/>
      <c r="S94" s="542"/>
    </row>
    <row r="95" spans="1:19">
      <c r="A95" s="704">
        <f t="shared" si="10"/>
        <v>2.7899999999999832</v>
      </c>
      <c r="B95" s="542"/>
      <c r="C95" s="686">
        <f t="shared" si="6"/>
        <v>0</v>
      </c>
      <c r="D95" s="686">
        <f t="shared" si="7"/>
        <v>0</v>
      </c>
      <c r="E95" s="686"/>
      <c r="F95" s="686"/>
      <c r="G95" s="686">
        <f t="shared" si="8"/>
        <v>0</v>
      </c>
      <c r="H95" s="686"/>
      <c r="I95" s="686">
        <f t="shared" si="9"/>
        <v>0</v>
      </c>
      <c r="J95" s="686">
        <f t="shared" si="9"/>
        <v>0</v>
      </c>
      <c r="K95" s="686">
        <f t="shared" si="9"/>
        <v>0</v>
      </c>
      <c r="L95" s="686"/>
      <c r="M95" s="542"/>
      <c r="N95" s="542"/>
      <c r="O95" s="542"/>
      <c r="P95" s="686"/>
      <c r="Q95" s="542"/>
      <c r="R95" s="542"/>
      <c r="S95" s="542"/>
    </row>
    <row r="96" spans="1:19">
      <c r="A96" s="704">
        <f t="shared" si="10"/>
        <v>2.7999999999999829</v>
      </c>
      <c r="B96" s="542"/>
      <c r="C96" s="542"/>
      <c r="D96" s="542"/>
      <c r="E96" s="686">
        <f t="shared" ref="E96:F106" si="11">-C96</f>
        <v>0</v>
      </c>
      <c r="F96" s="686">
        <f t="shared" si="11"/>
        <v>0</v>
      </c>
      <c r="G96" s="686">
        <f t="shared" si="8"/>
        <v>0</v>
      </c>
      <c r="H96" s="686"/>
      <c r="I96" s="686"/>
      <c r="J96" s="686"/>
      <c r="K96" s="686"/>
      <c r="L96" s="686"/>
      <c r="M96" s="686"/>
      <c r="N96" s="686"/>
      <c r="O96" s="686"/>
      <c r="P96" s="686"/>
      <c r="Q96" s="686"/>
      <c r="R96" s="686"/>
      <c r="S96" s="686"/>
    </row>
    <row r="97" spans="1:19">
      <c r="A97" s="704">
        <f t="shared" si="10"/>
        <v>2.8099999999999827</v>
      </c>
      <c r="B97" s="542"/>
      <c r="C97" s="542"/>
      <c r="D97" s="542"/>
      <c r="E97" s="686">
        <f t="shared" si="11"/>
        <v>0</v>
      </c>
      <c r="F97" s="686">
        <f t="shared" si="11"/>
        <v>0</v>
      </c>
      <c r="G97" s="686">
        <f t="shared" si="8"/>
        <v>0</v>
      </c>
      <c r="H97" s="686"/>
      <c r="I97" s="686"/>
      <c r="J97" s="686"/>
      <c r="K97" s="686"/>
      <c r="L97" s="686"/>
      <c r="M97" s="686"/>
      <c r="N97" s="686"/>
      <c r="O97" s="686"/>
      <c r="P97" s="686"/>
      <c r="Q97" s="686"/>
      <c r="R97" s="686"/>
      <c r="S97" s="686"/>
    </row>
    <row r="98" spans="1:19">
      <c r="A98" s="704">
        <f t="shared" si="10"/>
        <v>2.8199999999999825</v>
      </c>
      <c r="B98" s="542"/>
      <c r="C98" s="542"/>
      <c r="D98" s="542"/>
      <c r="E98" s="686">
        <f t="shared" si="11"/>
        <v>0</v>
      </c>
      <c r="F98" s="686">
        <f t="shared" si="11"/>
        <v>0</v>
      </c>
      <c r="G98" s="686">
        <f t="shared" si="8"/>
        <v>0</v>
      </c>
      <c r="H98" s="686"/>
      <c r="I98" s="686"/>
      <c r="J98" s="686"/>
      <c r="K98" s="686"/>
      <c r="L98" s="686"/>
      <c r="M98" s="686"/>
      <c r="N98" s="686"/>
      <c r="O98" s="686"/>
      <c r="P98" s="686"/>
      <c r="Q98" s="686"/>
      <c r="R98" s="686"/>
      <c r="S98" s="686"/>
    </row>
    <row r="99" spans="1:19">
      <c r="A99" s="704">
        <f t="shared" si="10"/>
        <v>2.8299999999999823</v>
      </c>
      <c r="B99" s="542"/>
      <c r="C99" s="542"/>
      <c r="D99" s="542"/>
      <c r="E99" s="686">
        <f t="shared" si="11"/>
        <v>0</v>
      </c>
      <c r="F99" s="686">
        <f t="shared" si="11"/>
        <v>0</v>
      </c>
      <c r="G99" s="686">
        <f t="shared" si="8"/>
        <v>0</v>
      </c>
      <c r="H99" s="686"/>
      <c r="I99" s="686"/>
      <c r="J99" s="686"/>
      <c r="K99" s="686"/>
      <c r="L99" s="686"/>
      <c r="M99" s="686"/>
      <c r="N99" s="686"/>
      <c r="O99" s="686"/>
      <c r="P99" s="686"/>
      <c r="Q99" s="686"/>
      <c r="R99" s="686"/>
      <c r="S99" s="686"/>
    </row>
    <row r="100" spans="1:19">
      <c r="A100" s="704">
        <f t="shared" si="10"/>
        <v>2.8399999999999821</v>
      </c>
      <c r="B100" s="542"/>
      <c r="C100" s="542"/>
      <c r="D100" s="542"/>
      <c r="E100" s="686">
        <f t="shared" si="11"/>
        <v>0</v>
      </c>
      <c r="F100" s="686">
        <f t="shared" si="11"/>
        <v>0</v>
      </c>
      <c r="G100" s="686">
        <f t="shared" si="8"/>
        <v>0</v>
      </c>
      <c r="H100" s="686"/>
      <c r="I100" s="686"/>
      <c r="J100" s="686"/>
      <c r="K100" s="686"/>
      <c r="L100" s="686"/>
      <c r="M100" s="686"/>
      <c r="N100" s="686"/>
      <c r="O100" s="686"/>
      <c r="P100" s="686"/>
      <c r="Q100" s="686"/>
      <c r="R100" s="686"/>
      <c r="S100" s="686"/>
    </row>
    <row r="101" spans="1:19">
      <c r="A101" s="704">
        <f t="shared" si="10"/>
        <v>2.8499999999999819</v>
      </c>
      <c r="B101" s="542"/>
      <c r="C101" s="542"/>
      <c r="D101" s="542"/>
      <c r="E101" s="686">
        <f t="shared" si="11"/>
        <v>0</v>
      </c>
      <c r="F101" s="686">
        <f t="shared" si="11"/>
        <v>0</v>
      </c>
      <c r="G101" s="686">
        <f t="shared" si="8"/>
        <v>0</v>
      </c>
      <c r="H101" s="686"/>
      <c r="I101" s="686"/>
      <c r="J101" s="686"/>
      <c r="K101" s="686"/>
      <c r="L101" s="686"/>
      <c r="M101" s="686"/>
      <c r="N101" s="686"/>
      <c r="O101" s="686"/>
      <c r="P101" s="686"/>
      <c r="Q101" s="686"/>
      <c r="R101" s="686"/>
      <c r="S101" s="686"/>
    </row>
    <row r="102" spans="1:19">
      <c r="A102" s="704">
        <f t="shared" si="10"/>
        <v>2.8599999999999817</v>
      </c>
      <c r="B102" s="542"/>
      <c r="C102" s="542"/>
      <c r="D102" s="542"/>
      <c r="E102" s="686">
        <f t="shared" si="11"/>
        <v>0</v>
      </c>
      <c r="F102" s="686">
        <f t="shared" si="11"/>
        <v>0</v>
      </c>
      <c r="G102" s="686">
        <f t="shared" si="8"/>
        <v>0</v>
      </c>
      <c r="H102" s="686"/>
      <c r="I102" s="686"/>
      <c r="J102" s="686"/>
      <c r="K102" s="686"/>
      <c r="L102" s="686"/>
      <c r="M102" s="686"/>
      <c r="N102" s="686"/>
      <c r="O102" s="686"/>
      <c r="P102" s="686"/>
      <c r="Q102" s="686"/>
      <c r="R102" s="686"/>
      <c r="S102" s="686"/>
    </row>
    <row r="103" spans="1:19">
      <c r="A103" s="704">
        <f t="shared" si="10"/>
        <v>2.8699999999999815</v>
      </c>
      <c r="B103" s="542"/>
      <c r="C103" s="542"/>
      <c r="D103" s="542"/>
      <c r="E103" s="686">
        <f t="shared" si="11"/>
        <v>0</v>
      </c>
      <c r="F103" s="686">
        <f t="shared" si="11"/>
        <v>0</v>
      </c>
      <c r="G103" s="686">
        <f t="shared" si="8"/>
        <v>0</v>
      </c>
      <c r="H103" s="686"/>
      <c r="I103" s="686"/>
      <c r="J103" s="686"/>
      <c r="K103" s="686"/>
      <c r="L103" s="686"/>
      <c r="M103" s="686"/>
      <c r="N103" s="686"/>
      <c r="O103" s="686"/>
      <c r="P103" s="686"/>
      <c r="Q103" s="686"/>
      <c r="R103" s="686"/>
      <c r="S103" s="686"/>
    </row>
    <row r="104" spans="1:19">
      <c r="A104" s="704">
        <f t="shared" si="10"/>
        <v>2.8799999999999812</v>
      </c>
      <c r="B104" s="542"/>
      <c r="C104" s="542"/>
      <c r="D104" s="542"/>
      <c r="E104" s="686">
        <f t="shared" si="11"/>
        <v>0</v>
      </c>
      <c r="F104" s="686">
        <f t="shared" si="11"/>
        <v>0</v>
      </c>
      <c r="G104" s="686">
        <f t="shared" si="8"/>
        <v>0</v>
      </c>
      <c r="H104" s="686"/>
      <c r="I104" s="686"/>
      <c r="J104" s="686"/>
      <c r="K104" s="686"/>
      <c r="L104" s="686"/>
      <c r="M104" s="686"/>
      <c r="N104" s="686"/>
      <c r="O104" s="686"/>
      <c r="P104" s="686"/>
      <c r="Q104" s="686"/>
      <c r="R104" s="686"/>
      <c r="S104" s="686"/>
    </row>
    <row r="105" spans="1:19">
      <c r="A105" s="704">
        <f t="shared" si="10"/>
        <v>2.889999999999981</v>
      </c>
      <c r="B105" s="542"/>
      <c r="C105" s="542"/>
      <c r="D105" s="542"/>
      <c r="E105" s="686">
        <f t="shared" si="11"/>
        <v>0</v>
      </c>
      <c r="F105" s="686">
        <f t="shared" si="11"/>
        <v>0</v>
      </c>
      <c r="G105" s="686">
        <f t="shared" si="8"/>
        <v>0</v>
      </c>
      <c r="H105" s="686"/>
      <c r="I105" s="686"/>
      <c r="J105" s="686"/>
      <c r="K105" s="686"/>
      <c r="L105" s="686"/>
      <c r="M105" s="686"/>
      <c r="N105" s="686"/>
      <c r="O105" s="686"/>
      <c r="P105" s="686"/>
      <c r="Q105" s="686"/>
      <c r="R105" s="686"/>
      <c r="S105" s="686"/>
    </row>
    <row r="106" spans="1:19">
      <c r="A106" s="704">
        <f t="shared" si="10"/>
        <v>2.8999999999999808</v>
      </c>
      <c r="B106" s="542"/>
      <c r="C106" s="542"/>
      <c r="D106" s="542"/>
      <c r="E106" s="686">
        <f t="shared" si="11"/>
        <v>0</v>
      </c>
      <c r="F106" s="686">
        <f t="shared" si="11"/>
        <v>0</v>
      </c>
      <c r="G106" s="686">
        <f t="shared" si="8"/>
        <v>0</v>
      </c>
      <c r="H106" s="686"/>
      <c r="I106" s="686">
        <f t="shared" ref="I106:K107" si="12">(M106+Q106)/2</f>
        <v>0</v>
      </c>
      <c r="J106" s="686">
        <f t="shared" si="12"/>
        <v>0</v>
      </c>
      <c r="K106" s="686">
        <f t="shared" si="12"/>
        <v>0</v>
      </c>
      <c r="L106" s="686"/>
      <c r="M106" s="686"/>
      <c r="N106" s="686"/>
      <c r="O106" s="686"/>
      <c r="P106" s="686"/>
      <c r="Q106" s="686"/>
      <c r="R106" s="686"/>
      <c r="S106" s="686"/>
    </row>
    <row r="107" spans="1:19">
      <c r="A107" s="704">
        <f t="shared" si="10"/>
        <v>2.9099999999999806</v>
      </c>
      <c r="B107" s="542"/>
      <c r="C107" s="686">
        <f>SUM(M107:O107)</f>
        <v>0</v>
      </c>
      <c r="D107" s="686">
        <f>SUM(Q107:S107)</f>
        <v>0</v>
      </c>
      <c r="E107" s="686"/>
      <c r="F107" s="686"/>
      <c r="G107" s="686">
        <f t="shared" si="8"/>
        <v>0</v>
      </c>
      <c r="H107" s="686"/>
      <c r="I107" s="686">
        <f t="shared" si="12"/>
        <v>0</v>
      </c>
      <c r="J107" s="686">
        <f t="shared" si="12"/>
        <v>0</v>
      </c>
      <c r="K107" s="686">
        <f t="shared" si="12"/>
        <v>0</v>
      </c>
      <c r="L107" s="686"/>
      <c r="M107" s="688"/>
      <c r="N107" s="688"/>
      <c r="O107" s="688"/>
      <c r="P107" s="686"/>
      <c r="Q107" s="688"/>
      <c r="R107" s="688"/>
      <c r="S107" s="688"/>
    </row>
    <row r="108" spans="1:19">
      <c r="A108" s="535"/>
      <c r="B108" s="686"/>
      <c r="C108" s="686"/>
      <c r="D108" s="686"/>
      <c r="E108" s="686"/>
      <c r="F108" s="686"/>
      <c r="G108" s="686"/>
      <c r="H108" s="686"/>
      <c r="I108" s="686"/>
      <c r="J108" s="686"/>
      <c r="K108" s="686"/>
      <c r="L108" s="686"/>
      <c r="M108" s="686"/>
      <c r="N108" s="686"/>
      <c r="O108" s="686"/>
      <c r="P108" s="686"/>
      <c r="Q108" s="686"/>
      <c r="R108" s="686"/>
      <c r="S108" s="686"/>
    </row>
    <row r="109" spans="1:19" ht="13.5" thickBot="1">
      <c r="A109" s="1">
        <v>3</v>
      </c>
      <c r="B109" s="686" t="s">
        <v>737</v>
      </c>
      <c r="C109" s="697">
        <f>SUM(C17:C108)</f>
        <v>0</v>
      </c>
      <c r="D109" s="697">
        <f>SUM(D17:D108)</f>
        <v>0</v>
      </c>
      <c r="E109" s="697">
        <f>SUM(E17:E108)</f>
        <v>0</v>
      </c>
      <c r="F109" s="697">
        <f>SUM(F17:F108)</f>
        <v>0</v>
      </c>
      <c r="G109" s="697">
        <f>SUM(G17:G108)</f>
        <v>0</v>
      </c>
      <c r="H109" s="686"/>
      <c r="I109" s="697">
        <f>SUM(I17:I108)</f>
        <v>0</v>
      </c>
      <c r="J109" s="697">
        <f>SUM(J17:J108)</f>
        <v>0</v>
      </c>
      <c r="K109" s="697">
        <f>SUM(K17:K108)</f>
        <v>0</v>
      </c>
      <c r="L109" s="686"/>
      <c r="M109" s="697">
        <f>SUM(M17:M108)</f>
        <v>0</v>
      </c>
      <c r="N109" s="697">
        <f>SUM(N17:N108)</f>
        <v>0</v>
      </c>
      <c r="O109" s="697">
        <f>SUM(O17:O108)</f>
        <v>0</v>
      </c>
      <c r="P109" s="686"/>
      <c r="Q109" s="697">
        <f>SUM(Q17:Q108)</f>
        <v>0</v>
      </c>
      <c r="R109" s="697">
        <f>SUM(R17:R108)</f>
        <v>0</v>
      </c>
      <c r="S109" s="697">
        <f>SUM(S17:S108)</f>
        <v>0</v>
      </c>
    </row>
    <row r="110" spans="1:19" ht="13.5" thickTop="1">
      <c r="A110" s="1">
        <v>4</v>
      </c>
      <c r="B110" s="15" t="s">
        <v>740</v>
      </c>
      <c r="C110" s="692">
        <f>C77+C78</f>
        <v>0</v>
      </c>
      <c r="D110" s="692">
        <f>D77+D78</f>
        <v>0</v>
      </c>
      <c r="E110" s="692">
        <f>E77+E78</f>
        <v>0</v>
      </c>
      <c r="F110" s="692">
        <f>F77+F78</f>
        <v>0</v>
      </c>
      <c r="G110" s="692">
        <f>G77+G78</f>
        <v>0</v>
      </c>
      <c r="H110" s="4"/>
      <c r="I110" s="692">
        <f>I77+I78</f>
        <v>0</v>
      </c>
      <c r="J110" s="692">
        <f>J77+J78</f>
        <v>0</v>
      </c>
      <c r="K110" s="692">
        <f>K77+K78</f>
        <v>0</v>
      </c>
      <c r="L110" s="4"/>
      <c r="M110" s="692">
        <f>M77+M78</f>
        <v>0</v>
      </c>
      <c r="N110" s="692">
        <f>N77+N78</f>
        <v>0</v>
      </c>
      <c r="O110" s="692">
        <f>O77+O78</f>
        <v>0</v>
      </c>
      <c r="P110" s="4"/>
      <c r="Q110" s="692">
        <f>Q77+Q78</f>
        <v>0</v>
      </c>
      <c r="R110" s="692">
        <f>R77+R78</f>
        <v>0</v>
      </c>
      <c r="S110" s="692">
        <f>S77+S78</f>
        <v>0</v>
      </c>
    </row>
  </sheetData>
  <pageMargins left="0.7" right="0.7" top="0.75" bottom="0.75" header="0.3" footer="0.3"/>
  <pageSetup scale="3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W115"/>
  <sheetViews>
    <sheetView topLeftCell="A5" workbookViewId="0">
      <selection activeCell="P10" sqref="P10"/>
    </sheetView>
  </sheetViews>
  <sheetFormatPr defaultColWidth="10" defaultRowHeight="12"/>
  <cols>
    <col min="1" max="1" width="9.42578125" style="966" customWidth="1"/>
    <col min="2" max="2" width="20.85546875" style="982" customWidth="1"/>
    <col min="3" max="3" width="35.5703125" style="966" customWidth="1"/>
    <col min="4" max="4" width="12.85546875" style="966" customWidth="1"/>
    <col min="5" max="5" width="10.42578125" style="966" customWidth="1"/>
    <col min="6" max="6" width="16.42578125" style="966" customWidth="1"/>
    <col min="7" max="7" width="12" style="966" customWidth="1"/>
    <col min="8" max="8" width="14.28515625" style="966" bestFit="1" customWidth="1"/>
    <col min="9" max="9" width="18.85546875" style="966" customWidth="1"/>
    <col min="10" max="10" width="15.5703125" style="966" customWidth="1"/>
    <col min="11" max="11" width="16.140625" style="966" customWidth="1"/>
    <col min="12" max="13" width="15" style="966" customWidth="1"/>
    <col min="14" max="14" width="13.5703125" style="966" customWidth="1"/>
    <col min="15" max="15" width="15" style="966" customWidth="1"/>
    <col min="16" max="17" width="17.5703125" style="966" customWidth="1"/>
    <col min="18" max="18" width="33" style="966" customWidth="1"/>
    <col min="19" max="19" width="15" style="966" customWidth="1"/>
    <col min="20" max="21" width="14.5703125" style="966" bestFit="1" customWidth="1"/>
    <col min="22" max="22" width="10.5703125" style="966" bestFit="1" customWidth="1"/>
    <col min="23" max="16384" width="10" style="966"/>
  </cols>
  <sheetData>
    <row r="1" spans="1:23" ht="15">
      <c r="A1" s="909" t="s">
        <v>965</v>
      </c>
      <c r="B1" s="910"/>
      <c r="C1" s="910"/>
      <c r="D1" s="910"/>
      <c r="E1" s="910"/>
      <c r="F1" s="910"/>
      <c r="G1" s="910"/>
      <c r="H1" s="910"/>
      <c r="I1" s="910"/>
      <c r="J1" s="910"/>
      <c r="K1" s="910"/>
      <c r="L1" s="910"/>
      <c r="M1" s="910"/>
      <c r="N1" s="910"/>
      <c r="O1" s="910"/>
      <c r="P1" s="910"/>
      <c r="Q1" s="910"/>
      <c r="R1" s="911"/>
      <c r="S1" s="910"/>
      <c r="T1" s="910"/>
      <c r="U1" s="910"/>
      <c r="V1" s="910"/>
      <c r="W1" s="910"/>
    </row>
    <row r="2" spans="1:23" ht="15">
      <c r="A2" s="909" t="s">
        <v>966</v>
      </c>
      <c r="B2" s="910"/>
      <c r="C2" s="910"/>
      <c r="D2" s="910"/>
      <c r="E2" s="910"/>
      <c r="F2" s="910"/>
      <c r="G2" s="910"/>
      <c r="H2" s="910"/>
      <c r="I2" s="910"/>
      <c r="J2" s="910"/>
      <c r="K2" s="910"/>
      <c r="L2" s="910"/>
      <c r="M2" s="910"/>
      <c r="N2" s="910"/>
      <c r="O2" s="910"/>
      <c r="P2" s="910"/>
      <c r="Q2" s="910"/>
      <c r="R2" s="911"/>
      <c r="S2" s="910"/>
      <c r="T2" s="910"/>
      <c r="U2" s="910"/>
      <c r="V2" s="912"/>
      <c r="W2" s="910"/>
    </row>
    <row r="3" spans="1:23" ht="15">
      <c r="A3" s="909" t="s">
        <v>967</v>
      </c>
      <c r="B3" s="910"/>
      <c r="C3" s="910"/>
      <c r="D3" s="910"/>
      <c r="E3" s="910"/>
      <c r="F3" s="910"/>
      <c r="G3" s="910"/>
      <c r="H3" s="910"/>
      <c r="I3" s="910"/>
      <c r="J3" s="910"/>
      <c r="K3" s="910"/>
      <c r="L3" s="910"/>
      <c r="M3" s="910"/>
      <c r="N3" s="910"/>
      <c r="O3" s="910"/>
      <c r="P3" s="910"/>
      <c r="Q3" s="910"/>
      <c r="R3" s="911"/>
      <c r="S3" s="910"/>
      <c r="T3" s="910"/>
      <c r="U3" s="910"/>
      <c r="V3" s="913"/>
      <c r="W3" s="910"/>
    </row>
    <row r="4" spans="1:23" ht="15">
      <c r="A4" s="909" t="s">
        <v>1079</v>
      </c>
      <c r="B4" s="910"/>
      <c r="C4" s="910"/>
      <c r="D4" s="910"/>
      <c r="E4" s="910"/>
      <c r="F4" s="910"/>
      <c r="G4" s="910"/>
      <c r="H4" s="910"/>
      <c r="I4" s="910"/>
      <c r="J4" s="910"/>
      <c r="K4" s="910"/>
      <c r="L4" s="910"/>
      <c r="M4" s="910"/>
      <c r="N4" s="910"/>
      <c r="O4" s="910"/>
      <c r="P4" s="910"/>
      <c r="Q4" s="910"/>
      <c r="R4" s="911"/>
      <c r="S4" s="910"/>
      <c r="T4" s="910"/>
      <c r="U4" s="910"/>
      <c r="V4" s="913"/>
      <c r="W4" s="910"/>
    </row>
    <row r="5" spans="1:23" ht="15">
      <c r="A5" s="909" t="s">
        <v>968</v>
      </c>
      <c r="B5" s="910"/>
      <c r="C5" s="910"/>
      <c r="D5" s="910"/>
      <c r="E5" s="910"/>
      <c r="F5" s="910"/>
      <c r="G5" s="914"/>
      <c r="H5" s="910"/>
      <c r="I5" s="910"/>
      <c r="J5" s="910"/>
      <c r="K5" s="910"/>
      <c r="L5" s="910"/>
      <c r="M5" s="910"/>
      <c r="N5" s="910"/>
      <c r="O5" s="910"/>
      <c r="P5" s="910"/>
      <c r="Q5" s="910"/>
      <c r="R5" s="910"/>
      <c r="S5" s="910"/>
      <c r="T5" s="910"/>
      <c r="U5" s="910"/>
      <c r="V5" s="910"/>
      <c r="W5" s="910"/>
    </row>
    <row r="6" spans="1:23" ht="15">
      <c r="A6" s="910"/>
      <c r="B6" s="910"/>
      <c r="C6" s="910"/>
      <c r="D6" s="910"/>
      <c r="E6" s="910"/>
      <c r="F6" s="910"/>
      <c r="G6" s="910"/>
      <c r="H6" s="910"/>
      <c r="I6" s="915"/>
      <c r="J6" s="915"/>
      <c r="K6" s="910"/>
      <c r="L6" s="910"/>
      <c r="M6" s="910"/>
      <c r="N6" s="910"/>
      <c r="O6" s="910"/>
      <c r="P6" s="915"/>
      <c r="Q6" s="915"/>
      <c r="R6" s="910"/>
      <c r="S6" s="910"/>
      <c r="T6" s="910"/>
      <c r="U6" s="910"/>
      <c r="V6" s="910"/>
      <c r="W6" s="910"/>
    </row>
    <row r="7" spans="1:23" ht="15">
      <c r="A7" s="910"/>
      <c r="B7" s="916"/>
      <c r="C7" s="916"/>
      <c r="D7" s="916"/>
      <c r="E7" s="916"/>
      <c r="F7" s="916"/>
      <c r="G7" s="916"/>
      <c r="H7" s="916"/>
      <c r="I7" s="916"/>
      <c r="J7" s="916"/>
      <c r="K7" s="916"/>
      <c r="L7" s="916"/>
      <c r="M7" s="916"/>
      <c r="N7" s="916"/>
      <c r="O7" s="916"/>
      <c r="P7" s="916"/>
      <c r="Q7" s="917"/>
      <c r="R7" s="910"/>
      <c r="S7" s="910"/>
      <c r="T7" s="910"/>
      <c r="U7" s="910"/>
      <c r="V7" s="910"/>
      <c r="W7" s="910"/>
    </row>
    <row r="8" spans="1:23" ht="15">
      <c r="A8" s="917" t="s">
        <v>148</v>
      </c>
      <c r="B8" s="917" t="s">
        <v>149</v>
      </c>
      <c r="C8" s="917" t="s">
        <v>150</v>
      </c>
      <c r="D8" s="917" t="s">
        <v>151</v>
      </c>
      <c r="E8" s="917" t="s">
        <v>152</v>
      </c>
      <c r="F8" s="917" t="s">
        <v>153</v>
      </c>
      <c r="G8" s="917" t="s">
        <v>154</v>
      </c>
      <c r="H8" s="917" t="s">
        <v>155</v>
      </c>
      <c r="I8" s="917" t="s">
        <v>969</v>
      </c>
      <c r="J8" s="917" t="s">
        <v>970</v>
      </c>
      <c r="K8" s="917" t="s">
        <v>158</v>
      </c>
      <c r="L8" s="917" t="s">
        <v>159</v>
      </c>
      <c r="M8" s="917" t="s">
        <v>160</v>
      </c>
      <c r="N8" s="917" t="s">
        <v>245</v>
      </c>
      <c r="O8" s="917" t="s">
        <v>304</v>
      </c>
      <c r="P8" s="917" t="s">
        <v>350</v>
      </c>
      <c r="Q8" s="917" t="s">
        <v>351</v>
      </c>
      <c r="R8" s="917" t="s">
        <v>352</v>
      </c>
      <c r="S8" s="910"/>
      <c r="T8" s="910"/>
      <c r="U8" s="910"/>
      <c r="V8" s="910"/>
      <c r="W8" s="910"/>
    </row>
    <row r="9" spans="1:23" ht="15">
      <c r="A9" s="918" t="s">
        <v>971</v>
      </c>
      <c r="B9" s="910"/>
      <c r="C9" s="910"/>
      <c r="D9" s="910"/>
      <c r="E9" s="910"/>
      <c r="F9" s="910"/>
      <c r="G9" s="910"/>
      <c r="H9" s="910"/>
      <c r="I9" s="1253" t="s">
        <v>1080</v>
      </c>
      <c r="J9" s="1253"/>
      <c r="K9" s="1254" t="s">
        <v>972</v>
      </c>
      <c r="L9" s="1254"/>
      <c r="M9" s="1254"/>
      <c r="N9" s="1255" t="s">
        <v>973</v>
      </c>
      <c r="O9" s="1255"/>
      <c r="P9" s="1253" t="s">
        <v>1081</v>
      </c>
      <c r="Q9" s="1253"/>
      <c r="R9" s="910"/>
      <c r="S9" s="910"/>
      <c r="T9" s="910"/>
      <c r="U9" s="910"/>
      <c r="V9" s="910"/>
      <c r="W9" s="910"/>
    </row>
    <row r="10" spans="1:23" ht="14.45" customHeight="1">
      <c r="A10" s="919" t="s">
        <v>974</v>
      </c>
      <c r="B10" s="920" t="s">
        <v>975</v>
      </c>
      <c r="C10" s="920" t="s">
        <v>976</v>
      </c>
      <c r="D10" s="921" t="s">
        <v>977</v>
      </c>
      <c r="E10" s="921" t="s">
        <v>978</v>
      </c>
      <c r="F10" s="921" t="s">
        <v>979</v>
      </c>
      <c r="G10" s="921" t="s">
        <v>980</v>
      </c>
      <c r="H10" s="921" t="s">
        <v>981</v>
      </c>
      <c r="I10" s="967" t="s">
        <v>982</v>
      </c>
      <c r="J10" s="967" t="s">
        <v>983</v>
      </c>
      <c r="K10" s="921" t="s">
        <v>984</v>
      </c>
      <c r="L10" s="921">
        <v>182.3</v>
      </c>
      <c r="M10" s="921">
        <v>254</v>
      </c>
      <c r="N10" s="921" t="s">
        <v>985</v>
      </c>
      <c r="O10" s="921" t="s">
        <v>986</v>
      </c>
      <c r="P10" s="967" t="s">
        <v>982</v>
      </c>
      <c r="Q10" s="967" t="s">
        <v>983</v>
      </c>
      <c r="R10" s="922" t="s">
        <v>987</v>
      </c>
      <c r="S10" s="909"/>
      <c r="T10" s="910"/>
      <c r="U10" s="910"/>
      <c r="V10" s="910"/>
      <c r="W10" s="910"/>
    </row>
    <row r="11" spans="1:23" ht="15">
      <c r="A11" s="910"/>
      <c r="B11" s="909"/>
      <c r="C11" s="910"/>
      <c r="D11" s="923"/>
      <c r="E11" s="923"/>
      <c r="F11" s="923"/>
      <c r="G11" s="923"/>
      <c r="H11" s="923"/>
      <c r="I11" s="923"/>
      <c r="J11" s="923"/>
      <c r="K11" s="923"/>
      <c r="L11" s="923"/>
      <c r="M11" s="923"/>
      <c r="N11" s="923"/>
      <c r="O11" s="923"/>
      <c r="P11" s="1256" t="s">
        <v>988</v>
      </c>
      <c r="Q11" s="1256"/>
      <c r="R11" s="922"/>
      <c r="S11" s="909"/>
      <c r="T11" s="910"/>
      <c r="U11" s="910"/>
      <c r="V11" s="910"/>
      <c r="W11" s="910"/>
    </row>
    <row r="12" spans="1:23" ht="15">
      <c r="A12" s="910"/>
      <c r="B12" s="924" t="s">
        <v>989</v>
      </c>
      <c r="C12" s="925"/>
      <c r="D12" s="925"/>
      <c r="E12" s="925"/>
      <c r="F12" s="925"/>
      <c r="G12" s="925"/>
      <c r="H12" s="925"/>
      <c r="I12" s="925"/>
      <c r="J12" s="925"/>
      <c r="K12" s="925"/>
      <c r="L12" s="925"/>
      <c r="M12" s="925"/>
      <c r="N12" s="925"/>
      <c r="O12" s="925"/>
      <c r="P12" s="925"/>
      <c r="Q12" s="925"/>
      <c r="R12" s="913"/>
      <c r="S12" s="910"/>
      <c r="T12" s="910"/>
      <c r="U12" s="910"/>
      <c r="V12" s="910"/>
      <c r="W12" s="913"/>
    </row>
    <row r="13" spans="1:23" ht="15">
      <c r="A13" s="909" t="s">
        <v>990</v>
      </c>
      <c r="B13" s="926" t="s">
        <v>1064</v>
      </c>
      <c r="C13" s="909" t="s">
        <v>991</v>
      </c>
      <c r="D13" s="909" t="s">
        <v>992</v>
      </c>
      <c r="E13" s="909" t="s">
        <v>993</v>
      </c>
      <c r="F13" s="917"/>
      <c r="G13" s="909"/>
      <c r="H13" s="909"/>
      <c r="I13" s="968"/>
      <c r="J13" s="969"/>
      <c r="K13" s="968"/>
      <c r="L13" s="968"/>
      <c r="M13" s="968"/>
      <c r="N13" s="968"/>
      <c r="O13" s="968"/>
      <c r="P13" s="970">
        <f>SUM(I13:O13)</f>
        <v>0</v>
      </c>
      <c r="Q13" s="927" t="s">
        <v>114</v>
      </c>
      <c r="R13" s="928" t="s">
        <v>1065</v>
      </c>
      <c r="S13" s="910"/>
      <c r="T13" s="910"/>
      <c r="U13" s="910"/>
      <c r="V13" s="910"/>
      <c r="W13" s="913"/>
    </row>
    <row r="14" spans="1:23" ht="15">
      <c r="A14" s="909" t="s">
        <v>994</v>
      </c>
      <c r="B14" s="926" t="s">
        <v>1066</v>
      </c>
      <c r="C14" s="916" t="s">
        <v>995</v>
      </c>
      <c r="D14" s="916" t="s">
        <v>996</v>
      </c>
      <c r="E14" s="909" t="s">
        <v>993</v>
      </c>
      <c r="F14" s="929">
        <v>-115991956</v>
      </c>
      <c r="G14" s="918" t="s">
        <v>997</v>
      </c>
      <c r="H14" s="918" t="s">
        <v>998</v>
      </c>
      <c r="I14" s="969"/>
      <c r="J14" s="928"/>
      <c r="K14" s="971"/>
      <c r="L14" s="971"/>
      <c r="M14" s="971"/>
      <c r="N14" s="971"/>
      <c r="O14" s="971"/>
      <c r="P14" s="927"/>
      <c r="Q14" s="970">
        <f>SUM(I14:O14)</f>
        <v>0</v>
      </c>
      <c r="R14" s="928"/>
      <c r="S14" s="910"/>
      <c r="T14" s="910"/>
      <c r="U14" s="910"/>
      <c r="V14" s="910"/>
      <c r="W14" s="913"/>
    </row>
    <row r="15" spans="1:23" ht="15">
      <c r="A15" s="909" t="s">
        <v>999</v>
      </c>
      <c r="B15" s="926" t="s">
        <v>1067</v>
      </c>
      <c r="C15" s="916" t="s">
        <v>1000</v>
      </c>
      <c r="D15" s="916" t="s">
        <v>996</v>
      </c>
      <c r="E15" s="909" t="s">
        <v>993</v>
      </c>
      <c r="F15" s="917"/>
      <c r="G15" s="909"/>
      <c r="H15" s="909"/>
      <c r="I15" s="928"/>
      <c r="J15" s="927"/>
      <c r="K15" s="971"/>
      <c r="L15" s="971"/>
      <c r="M15" s="971"/>
      <c r="N15" s="971"/>
      <c r="O15" s="971"/>
      <c r="P15" s="970">
        <f>SUM(I15:O15)</f>
        <v>0</v>
      </c>
      <c r="Q15" s="927"/>
      <c r="R15" s="928" t="s">
        <v>1001</v>
      </c>
      <c r="S15" s="910"/>
      <c r="T15" s="910"/>
      <c r="U15" s="910"/>
      <c r="V15" s="910"/>
      <c r="W15" s="913"/>
    </row>
    <row r="16" spans="1:23" ht="15">
      <c r="A16" s="909" t="s">
        <v>1002</v>
      </c>
      <c r="B16" s="926" t="s">
        <v>1068</v>
      </c>
      <c r="C16" s="909" t="s">
        <v>1003</v>
      </c>
      <c r="D16" s="909" t="s">
        <v>996</v>
      </c>
      <c r="E16" s="909" t="s">
        <v>993</v>
      </c>
      <c r="F16" s="929">
        <v>-568878716</v>
      </c>
      <c r="G16" s="918" t="s">
        <v>997</v>
      </c>
      <c r="H16" s="918" t="s">
        <v>998</v>
      </c>
      <c r="I16" s="927"/>
      <c r="J16" s="930"/>
      <c r="K16" s="930"/>
      <c r="L16" s="930"/>
      <c r="M16" s="930"/>
      <c r="N16" s="930"/>
      <c r="O16" s="930"/>
      <c r="P16" s="927" t="s">
        <v>114</v>
      </c>
      <c r="Q16" s="970">
        <f>SUM(I16:O16)</f>
        <v>0</v>
      </c>
      <c r="R16" s="1251" t="s">
        <v>1069</v>
      </c>
      <c r="S16" s="910"/>
      <c r="T16" s="910"/>
      <c r="U16" s="910"/>
      <c r="V16" s="910"/>
      <c r="W16" s="913"/>
    </row>
    <row r="17" spans="1:23" ht="15">
      <c r="A17" s="909" t="s">
        <v>1004</v>
      </c>
      <c r="B17" s="926" t="s">
        <v>1068</v>
      </c>
      <c r="C17" s="909" t="s">
        <v>1003</v>
      </c>
      <c r="D17" s="909" t="s">
        <v>1005</v>
      </c>
      <c r="E17" s="909" t="s">
        <v>993</v>
      </c>
      <c r="F17" s="931">
        <v>-230625401</v>
      </c>
      <c r="G17" s="918" t="s">
        <v>1006</v>
      </c>
      <c r="H17" s="918" t="s">
        <v>1007</v>
      </c>
      <c r="I17" s="927"/>
      <c r="J17" s="971"/>
      <c r="K17" s="971"/>
      <c r="L17" s="971"/>
      <c r="M17" s="971"/>
      <c r="N17" s="971"/>
      <c r="O17" s="971"/>
      <c r="P17" s="927"/>
      <c r="Q17" s="970">
        <f>SUM(I17:O17)</f>
        <v>0</v>
      </c>
      <c r="R17" s="1251"/>
      <c r="S17" s="910"/>
      <c r="T17" s="910"/>
      <c r="U17" s="910"/>
      <c r="V17" s="910"/>
      <c r="W17" s="913"/>
    </row>
    <row r="18" spans="1:23" ht="15">
      <c r="A18" s="909" t="s">
        <v>1008</v>
      </c>
      <c r="B18" s="926" t="s">
        <v>1070</v>
      </c>
      <c r="C18" s="909" t="s">
        <v>1009</v>
      </c>
      <c r="D18" s="909" t="s">
        <v>996</v>
      </c>
      <c r="E18" s="909" t="s">
        <v>993</v>
      </c>
      <c r="F18" s="931"/>
      <c r="G18" s="918"/>
      <c r="H18" s="918"/>
      <c r="I18" s="971"/>
      <c r="J18" s="927"/>
      <c r="K18" s="971"/>
      <c r="L18" s="971"/>
      <c r="M18" s="971"/>
      <c r="N18" s="971"/>
      <c r="O18" s="971"/>
      <c r="P18" s="970">
        <f>SUM(I18:O18)</f>
        <v>0</v>
      </c>
      <c r="Q18" s="927"/>
      <c r="R18" s="1257" t="s">
        <v>1071</v>
      </c>
      <c r="S18" s="910"/>
      <c r="T18" s="910"/>
      <c r="U18" s="910"/>
      <c r="V18" s="910"/>
      <c r="W18" s="913"/>
    </row>
    <row r="19" spans="1:23" ht="15">
      <c r="A19" s="909" t="s">
        <v>1010</v>
      </c>
      <c r="B19" s="926" t="s">
        <v>1070</v>
      </c>
      <c r="C19" s="909" t="s">
        <v>1009</v>
      </c>
      <c r="D19" s="909" t="s">
        <v>1005</v>
      </c>
      <c r="E19" s="909" t="s">
        <v>993</v>
      </c>
      <c r="F19" s="931"/>
      <c r="G19" s="918"/>
      <c r="H19" s="918"/>
      <c r="I19" s="971"/>
      <c r="J19" s="927"/>
      <c r="K19" s="971"/>
      <c r="L19" s="971"/>
      <c r="M19" s="971"/>
      <c r="N19" s="971"/>
      <c r="O19" s="971"/>
      <c r="P19" s="970">
        <f>SUM(I19:O19)</f>
        <v>0</v>
      </c>
      <c r="Q19" s="927"/>
      <c r="R19" s="1257"/>
      <c r="S19" s="910"/>
      <c r="T19" s="910"/>
      <c r="U19" s="910"/>
      <c r="V19" s="910"/>
      <c r="W19" s="913"/>
    </row>
    <row r="20" spans="1:23" ht="15">
      <c r="A20" s="909" t="s">
        <v>1011</v>
      </c>
      <c r="B20" s="926" t="s">
        <v>1072</v>
      </c>
      <c r="C20" s="909" t="s">
        <v>1012</v>
      </c>
      <c r="D20" s="909" t="s">
        <v>1005</v>
      </c>
      <c r="E20" s="909" t="s">
        <v>993</v>
      </c>
      <c r="F20" s="931">
        <v>-12804071</v>
      </c>
      <c r="G20" s="918" t="s">
        <v>1006</v>
      </c>
      <c r="H20" s="918" t="s">
        <v>1007</v>
      </c>
      <c r="I20" s="927"/>
      <c r="J20" s="971"/>
      <c r="K20" s="971"/>
      <c r="L20" s="971"/>
      <c r="M20" s="971"/>
      <c r="N20" s="971"/>
      <c r="O20" s="971"/>
      <c r="P20" s="972" t="s">
        <v>114</v>
      </c>
      <c r="Q20" s="970">
        <f>SUM(I20:O20)</f>
        <v>0</v>
      </c>
      <c r="R20" s="928" t="s">
        <v>1073</v>
      </c>
      <c r="S20" s="910"/>
      <c r="T20" s="910"/>
      <c r="U20" s="910"/>
      <c r="V20" s="910"/>
      <c r="W20" s="913"/>
    </row>
    <row r="21" spans="1:23" ht="15">
      <c r="A21" s="909" t="s">
        <v>1013</v>
      </c>
      <c r="B21" s="926" t="s">
        <v>1074</v>
      </c>
      <c r="C21" s="909" t="s">
        <v>1014</v>
      </c>
      <c r="D21" s="909" t="s">
        <v>1005</v>
      </c>
      <c r="E21" s="909" t="s">
        <v>993</v>
      </c>
      <c r="F21" s="929"/>
      <c r="G21" s="918"/>
      <c r="H21" s="918"/>
      <c r="I21" s="971"/>
      <c r="J21" s="973"/>
      <c r="K21" s="971"/>
      <c r="L21" s="971"/>
      <c r="M21" s="971"/>
      <c r="N21" s="971"/>
      <c r="O21" s="971"/>
      <c r="P21" s="970">
        <f>SUM(I21:O21)</f>
        <v>0</v>
      </c>
      <c r="Q21" s="972"/>
      <c r="R21" s="932" t="s">
        <v>1075</v>
      </c>
      <c r="S21" s="910"/>
      <c r="T21" s="910"/>
      <c r="U21" s="910"/>
      <c r="V21" s="910"/>
      <c r="W21" s="913"/>
    </row>
    <row r="22" spans="1:23" ht="15">
      <c r="A22" s="909" t="s">
        <v>1015</v>
      </c>
      <c r="B22" s="918" t="s">
        <v>1016</v>
      </c>
      <c r="C22" s="910"/>
      <c r="D22" s="909"/>
      <c r="E22" s="909"/>
      <c r="F22" s="929"/>
      <c r="G22" s="918"/>
      <c r="H22" s="918"/>
      <c r="I22" s="971"/>
      <c r="J22" s="971"/>
      <c r="K22" s="971"/>
      <c r="L22" s="971"/>
      <c r="M22" s="971"/>
      <c r="N22" s="971"/>
      <c r="O22" s="971"/>
      <c r="P22" s="974"/>
      <c r="Q22" s="975"/>
      <c r="R22" s="932"/>
      <c r="S22" s="910"/>
      <c r="T22" s="910"/>
      <c r="U22" s="910"/>
      <c r="V22" s="910"/>
      <c r="W22" s="913"/>
    </row>
    <row r="23" spans="1:23" ht="15">
      <c r="A23" s="910"/>
      <c r="B23" s="910"/>
      <c r="C23" s="910"/>
      <c r="D23" s="910"/>
      <c r="E23" s="910"/>
      <c r="F23" s="910"/>
      <c r="G23" s="910"/>
      <c r="H23" s="910"/>
      <c r="I23" s="910"/>
      <c r="J23" s="910"/>
      <c r="K23" s="910"/>
      <c r="L23" s="910"/>
      <c r="M23" s="910"/>
      <c r="N23" s="910"/>
      <c r="O23" s="910"/>
      <c r="P23" s="933"/>
      <c r="Q23" s="910"/>
      <c r="R23" s="910"/>
      <c r="S23" s="910"/>
      <c r="T23" s="910"/>
      <c r="U23" s="910"/>
      <c r="V23" s="910"/>
      <c r="W23" s="913"/>
    </row>
    <row r="24" spans="1:23" ht="15">
      <c r="A24" s="909"/>
      <c r="B24" s="924" t="s">
        <v>1017</v>
      </c>
      <c r="C24" s="913"/>
      <c r="D24" s="913"/>
      <c r="E24" s="913"/>
      <c r="F24" s="913"/>
      <c r="G24" s="913"/>
      <c r="H24" s="913"/>
      <c r="I24" s="913"/>
      <c r="J24" s="913"/>
      <c r="K24" s="913"/>
      <c r="L24" s="913"/>
      <c r="M24" s="913"/>
      <c r="N24" s="913"/>
      <c r="O24" s="913"/>
      <c r="P24" s="913"/>
      <c r="Q24" s="913"/>
      <c r="R24" s="934"/>
      <c r="S24" s="910"/>
      <c r="T24" s="910"/>
      <c r="U24" s="910"/>
      <c r="V24" s="910"/>
      <c r="W24" s="913"/>
    </row>
    <row r="25" spans="1:23" s="913" customFormat="1" ht="15">
      <c r="A25" s="909" t="s">
        <v>1018</v>
      </c>
      <c r="B25" s="917">
        <v>182.3</v>
      </c>
      <c r="C25" s="935" t="s">
        <v>1019</v>
      </c>
      <c r="D25" s="927" t="s">
        <v>114</v>
      </c>
      <c r="E25" s="909" t="s">
        <v>993</v>
      </c>
      <c r="F25" s="927"/>
      <c r="G25" s="927" t="s">
        <v>114</v>
      </c>
      <c r="H25" s="927"/>
      <c r="I25" s="976"/>
      <c r="J25" s="927"/>
      <c r="K25" s="971"/>
      <c r="L25" s="971"/>
      <c r="M25" s="971"/>
      <c r="N25" s="927"/>
      <c r="O25" s="927"/>
      <c r="P25" s="974">
        <f>SUM(I25:O25)</f>
        <v>0</v>
      </c>
      <c r="Q25" s="936"/>
      <c r="R25" s="928" t="s">
        <v>1020</v>
      </c>
      <c r="S25" s="910"/>
      <c r="T25" s="910"/>
      <c r="U25" s="910"/>
      <c r="V25" s="910"/>
    </row>
    <row r="26" spans="1:23" ht="11.45" customHeight="1">
      <c r="A26" s="909" t="s">
        <v>1021</v>
      </c>
      <c r="B26" s="917">
        <v>254</v>
      </c>
      <c r="C26" s="935" t="s">
        <v>1022</v>
      </c>
      <c r="D26" s="927" t="s">
        <v>114</v>
      </c>
      <c r="E26" s="909" t="s">
        <v>993</v>
      </c>
      <c r="F26" s="927"/>
      <c r="G26" s="927" t="s">
        <v>114</v>
      </c>
      <c r="H26" s="927"/>
      <c r="I26" s="976"/>
      <c r="J26" s="927"/>
      <c r="K26" s="971"/>
      <c r="L26" s="971"/>
      <c r="M26" s="971"/>
      <c r="N26" s="927"/>
      <c r="O26" s="927"/>
      <c r="P26" s="974">
        <f>SUM(I26:O26)</f>
        <v>0</v>
      </c>
      <c r="Q26" s="936"/>
      <c r="R26" s="928" t="s">
        <v>1023</v>
      </c>
      <c r="S26" s="913"/>
      <c r="T26" s="913"/>
      <c r="U26" s="913"/>
      <c r="V26" s="913"/>
      <c r="W26" s="913"/>
    </row>
    <row r="27" spans="1:23" ht="11.45" customHeight="1">
      <c r="A27" s="909" t="s">
        <v>1024</v>
      </c>
      <c r="B27" s="918" t="s">
        <v>1016</v>
      </c>
      <c r="C27" s="935"/>
      <c r="D27" s="927"/>
      <c r="E27" s="909"/>
      <c r="F27" s="927"/>
      <c r="G27" s="927"/>
      <c r="H27" s="927"/>
      <c r="I27" s="971"/>
      <c r="J27" s="927"/>
      <c r="K27" s="971"/>
      <c r="L27" s="971"/>
      <c r="M27" s="971"/>
      <c r="N27" s="927"/>
      <c r="O27" s="927"/>
      <c r="P27" s="936"/>
      <c r="Q27" s="936"/>
      <c r="R27" s="928"/>
      <c r="S27" s="913"/>
      <c r="T27" s="913"/>
      <c r="U27" s="913"/>
      <c r="V27" s="913"/>
      <c r="W27" s="913"/>
    </row>
    <row r="28" spans="1:23" ht="11.45" customHeight="1">
      <c r="A28" s="910"/>
      <c r="B28" s="917"/>
      <c r="C28" s="935"/>
      <c r="D28" s="916"/>
      <c r="E28" s="916"/>
      <c r="F28" s="916"/>
      <c r="G28" s="916"/>
      <c r="H28" s="916"/>
      <c r="I28" s="916"/>
      <c r="J28" s="916"/>
      <c r="K28" s="916"/>
      <c r="L28" s="916"/>
      <c r="M28" s="916"/>
      <c r="N28" s="916"/>
      <c r="O28" s="916"/>
      <c r="P28" s="916"/>
      <c r="Q28" s="916"/>
      <c r="R28" s="937"/>
      <c r="S28" s="913"/>
      <c r="T28" s="913"/>
      <c r="U28" s="913"/>
      <c r="V28" s="913"/>
      <c r="W28" s="913"/>
    </row>
    <row r="29" spans="1:23" ht="12.75" thickBot="1">
      <c r="A29" s="938">
        <v>3</v>
      </c>
      <c r="B29" s="1252" t="s">
        <v>1025</v>
      </c>
      <c r="C29" s="1252"/>
      <c r="D29" s="927"/>
      <c r="E29" s="927"/>
      <c r="F29" s="927"/>
      <c r="G29" s="927"/>
      <c r="H29" s="927"/>
      <c r="I29" s="977">
        <f t="shared" ref="I29:Q29" si="0">SUM(I13:I27)</f>
        <v>0</v>
      </c>
      <c r="J29" s="978">
        <f t="shared" si="0"/>
        <v>0</v>
      </c>
      <c r="K29" s="978">
        <f t="shared" si="0"/>
        <v>0</v>
      </c>
      <c r="L29" s="978">
        <f t="shared" si="0"/>
        <v>0</v>
      </c>
      <c r="M29" s="978">
        <f t="shared" si="0"/>
        <v>0</v>
      </c>
      <c r="N29" s="978">
        <f>-SUM(N13:N27)</f>
        <v>0</v>
      </c>
      <c r="O29" s="978">
        <f>-SUM(O13:O27)</f>
        <v>0</v>
      </c>
      <c r="P29" s="978">
        <f t="shared" si="0"/>
        <v>0</v>
      </c>
      <c r="Q29" s="978">
        <f t="shared" si="0"/>
        <v>0</v>
      </c>
      <c r="R29" s="941"/>
      <c r="S29" s="913"/>
      <c r="T29" s="913"/>
      <c r="U29" s="913"/>
      <c r="V29" s="913"/>
      <c r="W29" s="913"/>
    </row>
    <row r="30" spans="1:23" ht="15.75" thickTop="1">
      <c r="A30" s="910"/>
      <c r="B30" s="917"/>
      <c r="C30" s="935"/>
      <c r="D30" s="916"/>
      <c r="E30" s="916"/>
      <c r="F30" s="916"/>
      <c r="G30" s="916"/>
      <c r="H30" s="916"/>
      <c r="I30" s="942"/>
      <c r="J30" s="931"/>
      <c r="K30" s="943"/>
      <c r="L30" s="943"/>
      <c r="M30" s="943"/>
      <c r="N30" s="979" t="s">
        <v>1026</v>
      </c>
      <c r="O30" s="979"/>
      <c r="P30" s="943"/>
      <c r="Q30" s="944"/>
      <c r="R30" s="941"/>
      <c r="S30" s="913"/>
      <c r="T30" s="913"/>
      <c r="U30" s="913"/>
      <c r="V30" s="913"/>
      <c r="W30" s="913"/>
    </row>
    <row r="31" spans="1:23">
      <c r="A31" s="918" t="s">
        <v>1027</v>
      </c>
      <c r="B31" s="917"/>
      <c r="C31" s="935"/>
      <c r="D31" s="916"/>
      <c r="E31" s="916"/>
      <c r="F31" s="916"/>
      <c r="G31" s="916"/>
      <c r="H31" s="916"/>
      <c r="I31" s="942"/>
      <c r="J31" s="931"/>
      <c r="K31" s="943"/>
      <c r="L31" s="943"/>
      <c r="M31" s="943"/>
      <c r="N31" s="931"/>
      <c r="O31" s="931"/>
      <c r="P31" s="943"/>
      <c r="Q31" s="944"/>
      <c r="R31" s="941"/>
      <c r="S31" s="913"/>
      <c r="T31" s="913"/>
      <c r="U31" s="913"/>
      <c r="V31" s="913"/>
      <c r="W31" s="913"/>
    </row>
    <row r="32" spans="1:23" ht="15">
      <c r="A32" s="910"/>
      <c r="B32" s="909"/>
      <c r="C32" s="910"/>
      <c r="D32" s="923"/>
      <c r="E32" s="923"/>
      <c r="F32" s="923"/>
      <c r="G32" s="923"/>
      <c r="H32" s="923"/>
      <c r="I32" s="923"/>
      <c r="J32" s="923"/>
      <c r="K32" s="923"/>
      <c r="L32" s="923"/>
      <c r="M32" s="923"/>
      <c r="N32" s="923"/>
      <c r="O32" s="923"/>
      <c r="P32" s="1256" t="s">
        <v>988</v>
      </c>
      <c r="Q32" s="1256"/>
      <c r="R32" s="922"/>
      <c r="S32" s="913"/>
      <c r="T32" s="913"/>
      <c r="U32" s="913"/>
      <c r="V32" s="913"/>
      <c r="W32" s="913"/>
    </row>
    <row r="33" spans="1:23" ht="15">
      <c r="A33" s="910"/>
      <c r="B33" s="924" t="s">
        <v>989</v>
      </c>
      <c r="C33" s="925"/>
      <c r="D33" s="925"/>
      <c r="E33" s="925"/>
      <c r="F33" s="925"/>
      <c r="G33" s="925"/>
      <c r="H33" s="925"/>
      <c r="I33" s="925"/>
      <c r="J33" s="925"/>
      <c r="K33" s="925"/>
      <c r="L33" s="925"/>
      <c r="M33" s="925"/>
      <c r="N33" s="925"/>
      <c r="O33" s="925"/>
      <c r="P33" s="925"/>
      <c r="Q33" s="925"/>
      <c r="R33" s="913"/>
      <c r="S33" s="913"/>
      <c r="T33" s="913"/>
      <c r="U33" s="913"/>
      <c r="V33" s="913"/>
      <c r="W33" s="913"/>
    </row>
    <row r="34" spans="1:23">
      <c r="A34" s="909" t="s">
        <v>1028</v>
      </c>
      <c r="B34" s="926" t="s">
        <v>1064</v>
      </c>
      <c r="C34" s="909" t="s">
        <v>991</v>
      </c>
      <c r="D34" s="909" t="s">
        <v>992</v>
      </c>
      <c r="E34" s="909" t="s">
        <v>993</v>
      </c>
      <c r="F34" s="917"/>
      <c r="G34" s="909"/>
      <c r="H34" s="909"/>
      <c r="I34" s="971"/>
      <c r="J34" s="973"/>
      <c r="K34" s="971"/>
      <c r="L34" s="971"/>
      <c r="M34" s="971"/>
      <c r="N34" s="971"/>
      <c r="O34" s="971"/>
      <c r="P34" s="970">
        <f>SUM(I34:O34)</f>
        <v>0</v>
      </c>
      <c r="Q34" s="927"/>
      <c r="R34" s="928" t="s">
        <v>634</v>
      </c>
      <c r="S34" s="913"/>
      <c r="T34" s="913"/>
      <c r="U34" s="913"/>
      <c r="V34" s="913"/>
      <c r="W34" s="913"/>
    </row>
    <row r="35" spans="1:23">
      <c r="A35" s="909" t="s">
        <v>1029</v>
      </c>
      <c r="B35" s="926" t="s">
        <v>1068</v>
      </c>
      <c r="C35" s="909" t="s">
        <v>1003</v>
      </c>
      <c r="D35" s="909" t="s">
        <v>996</v>
      </c>
      <c r="E35" s="909" t="s">
        <v>993</v>
      </c>
      <c r="F35" s="929">
        <v>-185402169</v>
      </c>
      <c r="G35" s="918" t="s">
        <v>997</v>
      </c>
      <c r="H35" s="918" t="s">
        <v>998</v>
      </c>
      <c r="I35" s="927"/>
      <c r="J35" s="971"/>
      <c r="K35" s="971"/>
      <c r="L35" s="971"/>
      <c r="M35" s="971"/>
      <c r="N35" s="971"/>
      <c r="O35" s="971"/>
      <c r="P35" s="927"/>
      <c r="Q35" s="970">
        <f>SUM(I35:O35)</f>
        <v>0</v>
      </c>
      <c r="R35" s="1251" t="s">
        <v>1076</v>
      </c>
      <c r="S35" s="913"/>
      <c r="T35" s="913"/>
      <c r="U35" s="913"/>
      <c r="V35" s="913"/>
      <c r="W35" s="913"/>
    </row>
    <row r="36" spans="1:23">
      <c r="A36" s="909" t="s">
        <v>1030</v>
      </c>
      <c r="B36" s="926" t="s">
        <v>1068</v>
      </c>
      <c r="C36" s="909" t="s">
        <v>1003</v>
      </c>
      <c r="D36" s="909" t="s">
        <v>1005</v>
      </c>
      <c r="E36" s="909" t="s">
        <v>993</v>
      </c>
      <c r="F36" s="931">
        <v>-29860604</v>
      </c>
      <c r="G36" s="918" t="s">
        <v>1006</v>
      </c>
      <c r="H36" s="918" t="s">
        <v>1007</v>
      </c>
      <c r="I36" s="927"/>
      <c r="J36" s="971"/>
      <c r="K36" s="971"/>
      <c r="L36" s="971"/>
      <c r="M36" s="971"/>
      <c r="N36" s="971"/>
      <c r="O36" s="971"/>
      <c r="P36" s="927"/>
      <c r="Q36" s="970">
        <f>SUM(I36:O36)</f>
        <v>0</v>
      </c>
      <c r="R36" s="1251"/>
      <c r="S36" s="913"/>
      <c r="T36" s="913"/>
      <c r="U36" s="913"/>
      <c r="V36" s="913"/>
      <c r="W36" s="913"/>
    </row>
    <row r="37" spans="1:23">
      <c r="A37" s="909" t="s">
        <v>1031</v>
      </c>
      <c r="B37" s="926" t="s">
        <v>1070</v>
      </c>
      <c r="C37" s="909" t="s">
        <v>1009</v>
      </c>
      <c r="D37" s="909" t="s">
        <v>996</v>
      </c>
      <c r="E37" s="909" t="s">
        <v>993</v>
      </c>
      <c r="F37" s="931"/>
      <c r="G37" s="918"/>
      <c r="H37" s="918"/>
      <c r="I37" s="971"/>
      <c r="J37" s="927"/>
      <c r="K37" s="971"/>
      <c r="L37" s="971"/>
      <c r="M37" s="971"/>
      <c r="N37" s="971"/>
      <c r="O37" s="971"/>
      <c r="P37" s="970">
        <f>SUM(I37:O37)</f>
        <v>0</v>
      </c>
      <c r="Q37" s="927"/>
      <c r="R37" s="1257" t="s">
        <v>634</v>
      </c>
      <c r="S37" s="913"/>
      <c r="T37" s="913"/>
      <c r="U37" s="913"/>
      <c r="V37" s="913"/>
      <c r="W37" s="913"/>
    </row>
    <row r="38" spans="1:23">
      <c r="A38" s="909" t="s">
        <v>1032</v>
      </c>
      <c r="B38" s="926" t="s">
        <v>1070</v>
      </c>
      <c r="C38" s="909" t="s">
        <v>1009</v>
      </c>
      <c r="D38" s="909" t="s">
        <v>1005</v>
      </c>
      <c r="E38" s="909" t="s">
        <v>993</v>
      </c>
      <c r="F38" s="931"/>
      <c r="G38" s="918"/>
      <c r="H38" s="918"/>
      <c r="I38" s="971"/>
      <c r="J38" s="927"/>
      <c r="K38" s="971"/>
      <c r="L38" s="971"/>
      <c r="M38" s="971"/>
      <c r="N38" s="971"/>
      <c r="O38" s="971"/>
      <c r="P38" s="970">
        <f>SUM(I38:O38)</f>
        <v>0</v>
      </c>
      <c r="Q38" s="927"/>
      <c r="R38" s="1257"/>
      <c r="S38" s="913"/>
      <c r="T38" s="913"/>
      <c r="U38" s="913"/>
      <c r="V38" s="913"/>
      <c r="W38" s="913"/>
    </row>
    <row r="39" spans="1:23">
      <c r="A39" s="909" t="s">
        <v>1033</v>
      </c>
      <c r="B39" s="926" t="s">
        <v>1072</v>
      </c>
      <c r="C39" s="909" t="s">
        <v>1012</v>
      </c>
      <c r="D39" s="909" t="s">
        <v>1005</v>
      </c>
      <c r="E39" s="909" t="s">
        <v>993</v>
      </c>
      <c r="F39" s="931">
        <v>18056743</v>
      </c>
      <c r="G39" s="918" t="s">
        <v>1006</v>
      </c>
      <c r="H39" s="918" t="s">
        <v>1007</v>
      </c>
      <c r="I39" s="927"/>
      <c r="J39" s="971"/>
      <c r="K39" s="971"/>
      <c r="L39" s="971"/>
      <c r="M39" s="971"/>
      <c r="N39" s="971"/>
      <c r="O39" s="971"/>
      <c r="P39" s="972" t="s">
        <v>114</v>
      </c>
      <c r="Q39" s="970">
        <f>SUM(I39:O39)</f>
        <v>0</v>
      </c>
      <c r="R39" s="928" t="s">
        <v>1077</v>
      </c>
      <c r="S39" s="913"/>
      <c r="T39" s="913"/>
      <c r="U39" s="913"/>
      <c r="V39" s="913"/>
      <c r="W39" s="913"/>
    </row>
    <row r="40" spans="1:23">
      <c r="A40" s="909" t="s">
        <v>1034</v>
      </c>
      <c r="B40" s="926" t="s">
        <v>1074</v>
      </c>
      <c r="C40" s="909" t="s">
        <v>1014</v>
      </c>
      <c r="D40" s="909" t="s">
        <v>1005</v>
      </c>
      <c r="E40" s="909" t="s">
        <v>993</v>
      </c>
      <c r="F40" s="929"/>
      <c r="G40" s="918"/>
      <c r="H40" s="918"/>
      <c r="I40" s="971"/>
      <c r="J40" s="973"/>
      <c r="K40" s="971"/>
      <c r="L40" s="971"/>
      <c r="M40" s="971"/>
      <c r="N40" s="971"/>
      <c r="O40" s="971"/>
      <c r="P40" s="970">
        <f>SUM(I40:O40)</f>
        <v>0</v>
      </c>
      <c r="Q40" s="972"/>
      <c r="R40" s="932" t="s">
        <v>634</v>
      </c>
      <c r="S40" s="913"/>
      <c r="T40" s="913"/>
      <c r="U40" s="913"/>
      <c r="V40" s="913"/>
      <c r="W40" s="913"/>
    </row>
    <row r="41" spans="1:23" ht="15">
      <c r="A41" s="909" t="s">
        <v>1035</v>
      </c>
      <c r="B41" s="918" t="s">
        <v>1016</v>
      </c>
      <c r="C41" s="910"/>
      <c r="D41" s="909"/>
      <c r="E41" s="909"/>
      <c r="F41" s="929"/>
      <c r="G41" s="918"/>
      <c r="H41" s="918"/>
      <c r="I41" s="971"/>
      <c r="J41" s="971"/>
      <c r="K41" s="971"/>
      <c r="L41" s="971"/>
      <c r="M41" s="971"/>
      <c r="N41" s="971"/>
      <c r="O41" s="971"/>
      <c r="P41" s="974"/>
      <c r="Q41" s="975"/>
      <c r="R41" s="932"/>
      <c r="S41" s="913"/>
      <c r="T41" s="913"/>
      <c r="U41" s="913"/>
      <c r="V41" s="913"/>
      <c r="W41" s="913"/>
    </row>
    <row r="42" spans="1:23" ht="15">
      <c r="A42" s="910"/>
      <c r="B42" s="910"/>
      <c r="C42" s="910"/>
      <c r="D42" s="910"/>
      <c r="E42" s="910"/>
      <c r="F42" s="910"/>
      <c r="G42" s="910"/>
      <c r="H42" s="910"/>
      <c r="I42" s="910"/>
      <c r="J42" s="910"/>
      <c r="K42" s="910"/>
      <c r="L42" s="910"/>
      <c r="M42" s="910"/>
      <c r="N42" s="910"/>
      <c r="O42" s="910"/>
      <c r="P42" s="910"/>
      <c r="Q42" s="910"/>
      <c r="R42" s="910"/>
      <c r="S42" s="913"/>
      <c r="T42" s="913"/>
      <c r="U42" s="913"/>
      <c r="V42" s="913"/>
      <c r="W42" s="913"/>
    </row>
    <row r="43" spans="1:23" ht="15">
      <c r="A43" s="910"/>
      <c r="B43" s="924" t="s">
        <v>1017</v>
      </c>
      <c r="C43" s="913"/>
      <c r="D43" s="913"/>
      <c r="E43" s="913"/>
      <c r="F43" s="913"/>
      <c r="G43" s="913"/>
      <c r="H43" s="913"/>
      <c r="I43" s="913"/>
      <c r="J43" s="913"/>
      <c r="K43" s="913"/>
      <c r="L43" s="913"/>
      <c r="M43" s="913"/>
      <c r="N43" s="913"/>
      <c r="O43" s="913"/>
      <c r="P43" s="913"/>
      <c r="Q43" s="913"/>
      <c r="R43" s="913"/>
      <c r="S43" s="913"/>
      <c r="T43" s="913"/>
      <c r="U43" s="913"/>
      <c r="V43" s="913"/>
      <c r="W43" s="913"/>
    </row>
    <row r="44" spans="1:23">
      <c r="A44" s="909" t="s">
        <v>617</v>
      </c>
      <c r="B44" s="917">
        <v>182.3</v>
      </c>
      <c r="C44" s="935" t="s">
        <v>1019</v>
      </c>
      <c r="D44" s="927" t="s">
        <v>114</v>
      </c>
      <c r="E44" s="909" t="s">
        <v>993</v>
      </c>
      <c r="F44" s="927"/>
      <c r="G44" s="927" t="s">
        <v>114</v>
      </c>
      <c r="H44" s="927"/>
      <c r="I44" s="976"/>
      <c r="J44" s="927"/>
      <c r="K44" s="971"/>
      <c r="L44" s="971"/>
      <c r="M44" s="971"/>
      <c r="N44" s="927"/>
      <c r="O44" s="927"/>
      <c r="P44" s="974">
        <f>SUM(I44:O44)</f>
        <v>0</v>
      </c>
      <c r="Q44" s="936"/>
      <c r="R44" s="928" t="s">
        <v>1020</v>
      </c>
      <c r="S44" s="913"/>
      <c r="T44" s="913"/>
      <c r="U44" s="913"/>
      <c r="V44" s="913"/>
      <c r="W44" s="913"/>
    </row>
    <row r="45" spans="1:23">
      <c r="A45" s="909" t="s">
        <v>618</v>
      </c>
      <c r="B45" s="917">
        <v>254</v>
      </c>
      <c r="C45" s="935" t="s">
        <v>1022</v>
      </c>
      <c r="D45" s="927" t="s">
        <v>114</v>
      </c>
      <c r="E45" s="909" t="s">
        <v>993</v>
      </c>
      <c r="F45" s="927"/>
      <c r="G45" s="927" t="s">
        <v>114</v>
      </c>
      <c r="H45" s="927"/>
      <c r="I45" s="976"/>
      <c r="J45" s="927"/>
      <c r="K45" s="971"/>
      <c r="L45" s="971"/>
      <c r="M45" s="971"/>
      <c r="N45" s="927"/>
      <c r="O45" s="927"/>
      <c r="P45" s="974">
        <f>SUM(I45:O45)</f>
        <v>0</v>
      </c>
      <c r="Q45" s="936"/>
      <c r="R45" s="928" t="s">
        <v>1020</v>
      </c>
      <c r="S45" s="913"/>
      <c r="T45" s="913"/>
      <c r="U45" s="913"/>
      <c r="V45" s="913"/>
      <c r="W45" s="913"/>
    </row>
    <row r="46" spans="1:23">
      <c r="A46" s="909" t="s">
        <v>1036</v>
      </c>
      <c r="B46" s="918" t="s">
        <v>1016</v>
      </c>
      <c r="C46" s="935"/>
      <c r="D46" s="927"/>
      <c r="E46" s="909"/>
      <c r="F46" s="927"/>
      <c r="G46" s="927"/>
      <c r="H46" s="927"/>
      <c r="I46" s="971"/>
      <c r="J46" s="927"/>
      <c r="K46" s="971"/>
      <c r="L46" s="971"/>
      <c r="M46" s="971"/>
      <c r="N46" s="927"/>
      <c r="O46" s="927"/>
      <c r="P46" s="936"/>
      <c r="Q46" s="936"/>
      <c r="R46" s="928"/>
      <c r="S46" s="913"/>
      <c r="T46" s="913"/>
      <c r="U46" s="913"/>
      <c r="V46" s="913"/>
      <c r="W46" s="913"/>
    </row>
    <row r="47" spans="1:23" ht="15">
      <c r="A47" s="910"/>
      <c r="B47" s="917"/>
      <c r="C47" s="935"/>
      <c r="D47" s="916"/>
      <c r="E47" s="916"/>
      <c r="F47" s="916"/>
      <c r="G47" s="916"/>
      <c r="H47" s="916"/>
      <c r="I47" s="916"/>
      <c r="J47" s="916"/>
      <c r="K47" s="916"/>
      <c r="L47" s="916"/>
      <c r="M47" s="916"/>
      <c r="N47" s="916"/>
      <c r="O47" s="916"/>
      <c r="P47" s="916"/>
      <c r="Q47" s="916"/>
      <c r="R47" s="937"/>
      <c r="S47" s="913"/>
      <c r="T47" s="913"/>
      <c r="U47" s="913"/>
      <c r="V47" s="913"/>
      <c r="W47" s="913"/>
    </row>
    <row r="48" spans="1:23" ht="12.75" thickBot="1">
      <c r="A48" s="938">
        <v>6</v>
      </c>
      <c r="B48" s="1252" t="s">
        <v>1037</v>
      </c>
      <c r="C48" s="1252"/>
      <c r="D48" s="927"/>
      <c r="E48" s="927"/>
      <c r="F48" s="927"/>
      <c r="G48" s="927"/>
      <c r="H48" s="927"/>
      <c r="I48" s="939">
        <f>SUM(I34:I46)</f>
        <v>0</v>
      </c>
      <c r="J48" s="940">
        <f>SUM(J34:J46)</f>
        <v>0</v>
      </c>
      <c r="K48" s="940">
        <f t="shared" ref="K48:Q48" si="1">SUM(K34:K46)</f>
        <v>0</v>
      </c>
      <c r="L48" s="940">
        <f t="shared" si="1"/>
        <v>0</v>
      </c>
      <c r="M48" s="940">
        <f t="shared" si="1"/>
        <v>0</v>
      </c>
      <c r="N48" s="940">
        <f>-SUM(N34:N46)</f>
        <v>0</v>
      </c>
      <c r="O48" s="940">
        <f>-SUM(O34:O46)</f>
        <v>0</v>
      </c>
      <c r="P48" s="940">
        <f t="shared" si="1"/>
        <v>0</v>
      </c>
      <c r="Q48" s="940">
        <f t="shared" si="1"/>
        <v>0</v>
      </c>
      <c r="R48" s="941"/>
      <c r="S48" s="913"/>
      <c r="T48" s="913"/>
      <c r="U48" s="913"/>
      <c r="V48" s="913"/>
      <c r="W48" s="913"/>
    </row>
    <row r="49" spans="1:23" ht="15.75" thickTop="1">
      <c r="A49" s="910"/>
      <c r="B49" s="917"/>
      <c r="C49" s="935"/>
      <c r="D49" s="916"/>
      <c r="E49" s="916"/>
      <c r="F49" s="916"/>
      <c r="G49" s="916"/>
      <c r="H49" s="916"/>
      <c r="I49" s="942"/>
      <c r="J49" s="931"/>
      <c r="K49" s="943"/>
      <c r="L49" s="943"/>
      <c r="M49" s="943"/>
      <c r="N49" s="979" t="s">
        <v>1026</v>
      </c>
      <c r="O49" s="931"/>
      <c r="P49" s="943"/>
      <c r="Q49" s="944"/>
      <c r="R49" s="941"/>
      <c r="S49" s="913"/>
      <c r="T49" s="913"/>
      <c r="U49" s="913"/>
      <c r="V49" s="913"/>
      <c r="W49" s="913"/>
    </row>
    <row r="50" spans="1:23" ht="15">
      <c r="A50" s="910"/>
      <c r="B50" s="917"/>
      <c r="C50" s="935"/>
      <c r="D50" s="916"/>
      <c r="E50" s="916"/>
      <c r="F50" s="916"/>
      <c r="G50" s="916"/>
      <c r="H50" s="916"/>
      <c r="I50" s="942"/>
      <c r="J50" s="931"/>
      <c r="K50" s="943"/>
      <c r="L50" s="943"/>
      <c r="M50" s="943"/>
      <c r="N50" s="931"/>
      <c r="O50" s="931"/>
      <c r="P50" s="943"/>
      <c r="Q50" s="944"/>
      <c r="R50" s="941"/>
      <c r="S50" s="913"/>
      <c r="T50" s="913"/>
      <c r="U50" s="913"/>
      <c r="V50" s="913"/>
      <c r="W50" s="913"/>
    </row>
    <row r="51" spans="1:23">
      <c r="A51" s="1249" t="s">
        <v>1038</v>
      </c>
      <c r="B51" s="1249"/>
      <c r="C51" s="1249"/>
      <c r="D51" s="1249"/>
      <c r="E51" s="1249"/>
      <c r="F51" s="1249"/>
      <c r="G51" s="1249"/>
      <c r="H51" s="1249"/>
      <c r="I51" s="1249"/>
      <c r="J51" s="1249"/>
      <c r="K51" s="943"/>
      <c r="L51" s="943"/>
      <c r="M51" s="943"/>
      <c r="N51" s="931"/>
      <c r="O51" s="931"/>
      <c r="P51" s="943"/>
      <c r="Q51" s="944"/>
      <c r="R51" s="941"/>
      <c r="S51" s="913"/>
      <c r="T51" s="913"/>
      <c r="U51" s="913"/>
      <c r="V51" s="913"/>
      <c r="W51" s="913"/>
    </row>
    <row r="52" spans="1:23" ht="18.600000000000001" customHeight="1">
      <c r="A52" s="1249"/>
      <c r="B52" s="1249"/>
      <c r="C52" s="1249"/>
      <c r="D52" s="1249"/>
      <c r="E52" s="1249"/>
      <c r="F52" s="1249"/>
      <c r="G52" s="1249"/>
      <c r="H52" s="1249"/>
      <c r="I52" s="1249"/>
      <c r="J52" s="1249"/>
      <c r="K52" s="943"/>
      <c r="L52" s="943"/>
      <c r="M52" s="943"/>
      <c r="N52" s="931"/>
      <c r="O52" s="931"/>
      <c r="P52" s="943"/>
      <c r="Q52" s="944"/>
      <c r="R52" s="941"/>
      <c r="S52" s="913"/>
      <c r="T52" s="913"/>
      <c r="U52" s="913"/>
      <c r="V52" s="913"/>
      <c r="W52" s="913"/>
    </row>
    <row r="53" spans="1:23" ht="23.1" customHeight="1">
      <c r="A53" s="910"/>
      <c r="B53" s="917"/>
      <c r="C53" s="935"/>
      <c r="D53" s="916"/>
      <c r="E53" s="916"/>
      <c r="F53" s="916"/>
      <c r="G53" s="916"/>
      <c r="H53" s="916"/>
      <c r="I53" s="942"/>
      <c r="J53" s="931"/>
      <c r="K53" s="943"/>
      <c r="L53" s="943"/>
      <c r="M53" s="943"/>
      <c r="N53" s="931"/>
      <c r="O53" s="931"/>
      <c r="P53" s="943"/>
      <c r="Q53" s="944"/>
      <c r="R53" s="941"/>
      <c r="S53" s="913"/>
      <c r="T53" s="913"/>
      <c r="U53" s="913"/>
      <c r="V53" s="913"/>
      <c r="W53" s="913"/>
    </row>
    <row r="54" spans="1:23" ht="15" customHeight="1">
      <c r="A54" s="910"/>
      <c r="B54" s="909"/>
      <c r="C54" s="935"/>
      <c r="D54" s="916"/>
      <c r="E54" s="916"/>
      <c r="F54" s="916"/>
      <c r="G54" s="916"/>
      <c r="H54" s="916"/>
      <c r="I54" s="942"/>
      <c r="J54" s="944"/>
      <c r="K54" s="943"/>
      <c r="L54" s="943"/>
      <c r="M54" s="943"/>
      <c r="N54" s="944"/>
      <c r="O54" s="944"/>
      <c r="P54" s="943"/>
      <c r="Q54" s="944"/>
      <c r="R54" s="941"/>
      <c r="S54" s="913"/>
      <c r="T54" s="913"/>
      <c r="U54" s="913"/>
      <c r="V54" s="913"/>
      <c r="W54" s="913"/>
    </row>
    <row r="55" spans="1:23" ht="15">
      <c r="A55" s="945" t="s">
        <v>1039</v>
      </c>
      <c r="B55" s="1250" t="s">
        <v>1040</v>
      </c>
      <c r="C55" s="1250"/>
      <c r="D55" s="1250"/>
      <c r="E55" s="1250"/>
      <c r="F55" s="1250"/>
      <c r="G55" s="1250"/>
      <c r="H55" s="1250"/>
      <c r="I55" s="1250"/>
      <c r="J55" s="1250"/>
      <c r="K55" s="946"/>
      <c r="L55" s="909"/>
      <c r="M55" s="910"/>
      <c r="N55" s="910"/>
      <c r="O55" s="947"/>
      <c r="P55" s="947"/>
      <c r="Q55" s="947"/>
      <c r="R55" s="913"/>
      <c r="S55" s="910"/>
      <c r="T55" s="910"/>
      <c r="U55" s="910"/>
      <c r="V55" s="910"/>
      <c r="W55" s="910"/>
    </row>
    <row r="56" spans="1:23" ht="15" customHeight="1">
      <c r="A56" s="910"/>
      <c r="B56" s="1250"/>
      <c r="C56" s="1250"/>
      <c r="D56" s="1250"/>
      <c r="E56" s="1250"/>
      <c r="F56" s="1250"/>
      <c r="G56" s="1250"/>
      <c r="H56" s="1250"/>
      <c r="I56" s="1250"/>
      <c r="J56" s="1250"/>
      <c r="K56" s="946"/>
      <c r="L56" s="909"/>
      <c r="M56" s="910"/>
      <c r="N56" s="910"/>
      <c r="O56" s="947"/>
      <c r="P56" s="910"/>
      <c r="Q56" s="910"/>
      <c r="R56" s="913"/>
      <c r="S56" s="910"/>
      <c r="T56" s="910"/>
      <c r="U56" s="910"/>
      <c r="V56" s="910"/>
      <c r="W56" s="910"/>
    </row>
    <row r="57" spans="1:23" ht="15">
      <c r="A57" s="910"/>
      <c r="B57" s="1250"/>
      <c r="C57" s="1250"/>
      <c r="D57" s="1250"/>
      <c r="E57" s="1250"/>
      <c r="F57" s="1250"/>
      <c r="G57" s="1250"/>
      <c r="H57" s="1250"/>
      <c r="I57" s="1250"/>
      <c r="J57" s="1250"/>
      <c r="K57" s="946"/>
      <c r="L57" s="909"/>
      <c r="M57" s="910"/>
      <c r="N57" s="910"/>
      <c r="O57" s="910"/>
      <c r="P57" s="910"/>
      <c r="Q57" s="910"/>
      <c r="R57" s="913"/>
      <c r="S57" s="910"/>
      <c r="T57" s="910"/>
      <c r="U57" s="910"/>
      <c r="V57" s="910"/>
      <c r="W57" s="910"/>
    </row>
    <row r="58" spans="1:23" ht="15">
      <c r="A58" s="910"/>
      <c r="B58" s="1250"/>
      <c r="C58" s="1250"/>
      <c r="D58" s="1250"/>
      <c r="E58" s="1250"/>
      <c r="F58" s="1250"/>
      <c r="G58" s="1250"/>
      <c r="H58" s="1250"/>
      <c r="I58" s="1250"/>
      <c r="J58" s="1250"/>
      <c r="K58" s="946"/>
      <c r="L58" s="909"/>
      <c r="M58" s="910"/>
      <c r="N58" s="910"/>
      <c r="O58" s="910"/>
      <c r="P58" s="947"/>
      <c r="Q58" s="947"/>
      <c r="R58" s="913"/>
      <c r="S58" s="910"/>
      <c r="T58" s="910"/>
      <c r="U58" s="910"/>
      <c r="V58" s="910"/>
      <c r="W58" s="910"/>
    </row>
    <row r="59" spans="1:23" ht="15">
      <c r="A59" s="910"/>
      <c r="B59" s="1250"/>
      <c r="C59" s="1250"/>
      <c r="D59" s="1250"/>
      <c r="E59" s="1250"/>
      <c r="F59" s="1250"/>
      <c r="G59" s="1250"/>
      <c r="H59" s="1250"/>
      <c r="I59" s="1250"/>
      <c r="J59" s="1250"/>
      <c r="K59" s="946"/>
      <c r="L59" s="910"/>
      <c r="M59" s="910"/>
      <c r="N59" s="910"/>
      <c r="O59" s="910"/>
      <c r="P59" s="910"/>
      <c r="Q59" s="910"/>
      <c r="R59" s="913"/>
      <c r="S59" s="910"/>
      <c r="T59" s="910"/>
      <c r="U59" s="910"/>
      <c r="V59" s="910"/>
      <c r="W59" s="910"/>
    </row>
    <row r="60" spans="1:23" ht="15">
      <c r="A60" s="910"/>
      <c r="B60" s="1250"/>
      <c r="C60" s="1250"/>
      <c r="D60" s="1250"/>
      <c r="E60" s="1250"/>
      <c r="F60" s="1250"/>
      <c r="G60" s="1250"/>
      <c r="H60" s="1250"/>
      <c r="I60" s="1250"/>
      <c r="J60" s="1250"/>
      <c r="K60" s="946"/>
      <c r="L60" s="910"/>
      <c r="M60" s="910"/>
      <c r="N60" s="910"/>
      <c r="O60" s="910"/>
      <c r="P60" s="910"/>
      <c r="Q60" s="910"/>
      <c r="R60" s="913"/>
      <c r="S60" s="910"/>
      <c r="T60" s="910"/>
      <c r="U60" s="910"/>
      <c r="V60" s="910"/>
      <c r="W60" s="910"/>
    </row>
    <row r="61" spans="1:23" ht="15">
      <c r="A61" s="910"/>
      <c r="B61" s="946"/>
      <c r="C61" s="946"/>
      <c r="D61" s="946"/>
      <c r="E61" s="946"/>
      <c r="F61" s="946"/>
      <c r="G61" s="946"/>
      <c r="H61" s="946"/>
      <c r="I61" s="946"/>
      <c r="J61" s="946"/>
      <c r="K61" s="946"/>
      <c r="L61" s="910"/>
      <c r="M61" s="910"/>
      <c r="N61" s="910"/>
      <c r="O61" s="910"/>
      <c r="P61" s="910"/>
      <c r="Q61" s="910"/>
      <c r="R61" s="913"/>
      <c r="S61" s="910"/>
      <c r="T61" s="910"/>
      <c r="U61" s="910"/>
      <c r="V61" s="910"/>
      <c r="W61" s="910"/>
    </row>
    <row r="62" spans="1:23" ht="15">
      <c r="A62" s="909" t="s">
        <v>1041</v>
      </c>
      <c r="B62" s="948" t="s">
        <v>1042</v>
      </c>
      <c r="C62" s="948"/>
      <c r="D62" s="948"/>
      <c r="E62" s="948"/>
      <c r="F62" s="948"/>
      <c r="G62" s="948"/>
      <c r="H62" s="948"/>
      <c r="I62" s="948"/>
      <c r="J62" s="948"/>
      <c r="K62" s="946"/>
      <c r="L62" s="910"/>
      <c r="M62" s="910"/>
      <c r="N62" s="910"/>
      <c r="O62" s="910"/>
      <c r="P62" s="910"/>
      <c r="Q62" s="910"/>
      <c r="R62" s="913"/>
      <c r="S62" s="910"/>
      <c r="T62" s="910"/>
      <c r="U62" s="910"/>
      <c r="V62" s="910"/>
      <c r="W62" s="910"/>
    </row>
    <row r="63" spans="1:23" ht="12.6" customHeight="1">
      <c r="A63" s="910"/>
      <c r="B63" s="948"/>
      <c r="C63" s="948"/>
      <c r="D63" s="948"/>
      <c r="E63" s="948"/>
      <c r="F63" s="948"/>
      <c r="G63" s="948"/>
      <c r="H63" s="948"/>
      <c r="I63" s="948"/>
      <c r="J63" s="948"/>
      <c r="K63" s="946"/>
      <c r="L63" s="910"/>
      <c r="M63" s="910"/>
      <c r="N63" s="910"/>
      <c r="O63" s="910"/>
      <c r="P63" s="910"/>
      <c r="Q63" s="910"/>
      <c r="R63" s="913"/>
      <c r="S63" s="910"/>
      <c r="T63" s="910"/>
      <c r="U63" s="910"/>
      <c r="V63" s="910"/>
      <c r="W63" s="910"/>
    </row>
    <row r="64" spans="1:23" ht="15">
      <c r="A64" s="909" t="s">
        <v>1043</v>
      </c>
      <c r="B64" s="948" t="s">
        <v>1044</v>
      </c>
      <c r="C64" s="948"/>
      <c r="D64" s="948"/>
      <c r="E64" s="948"/>
      <c r="F64" s="948"/>
      <c r="G64" s="948"/>
      <c r="H64" s="948"/>
      <c r="I64" s="948"/>
      <c r="J64" s="948"/>
      <c r="K64" s="946"/>
      <c r="L64" s="910"/>
      <c r="M64" s="910"/>
      <c r="N64" s="910"/>
      <c r="O64" s="910"/>
      <c r="P64" s="910"/>
      <c r="Q64" s="910"/>
      <c r="R64" s="913"/>
      <c r="S64" s="910"/>
      <c r="T64" s="910"/>
      <c r="U64" s="910"/>
      <c r="V64" s="910"/>
      <c r="W64" s="910"/>
    </row>
    <row r="65" spans="1:18" ht="12.6" customHeight="1">
      <c r="A65" s="910"/>
      <c r="B65" s="946"/>
      <c r="C65" s="946"/>
      <c r="D65" s="946"/>
      <c r="E65" s="946"/>
      <c r="F65" s="946"/>
      <c r="G65" s="946"/>
      <c r="H65" s="946"/>
      <c r="I65" s="946"/>
      <c r="J65" s="946"/>
      <c r="K65" s="946"/>
      <c r="L65" s="910"/>
      <c r="M65" s="910"/>
      <c r="N65" s="910"/>
      <c r="O65" s="910"/>
      <c r="P65" s="910"/>
      <c r="Q65" s="910"/>
      <c r="R65" s="913"/>
    </row>
    <row r="66" spans="1:18">
      <c r="A66" s="909" t="s">
        <v>1045</v>
      </c>
      <c r="B66" s="1250" t="s">
        <v>1046</v>
      </c>
      <c r="C66" s="1250"/>
      <c r="D66" s="1250"/>
      <c r="E66" s="1250"/>
      <c r="F66" s="1250"/>
      <c r="G66" s="1250"/>
      <c r="H66" s="1250"/>
      <c r="I66" s="1250"/>
      <c r="J66" s="1250"/>
      <c r="K66" s="946"/>
      <c r="L66" s="909"/>
      <c r="M66" s="909"/>
      <c r="N66" s="909"/>
      <c r="O66" s="909"/>
      <c r="P66" s="909"/>
      <c r="Q66" s="909"/>
      <c r="R66" s="913"/>
    </row>
    <row r="67" spans="1:18">
      <c r="A67" s="909"/>
      <c r="B67" s="1250"/>
      <c r="C67" s="1250"/>
      <c r="D67" s="1250"/>
      <c r="E67" s="1250"/>
      <c r="F67" s="1250"/>
      <c r="G67" s="1250"/>
      <c r="H67" s="1250"/>
      <c r="I67" s="1250"/>
      <c r="J67" s="1250"/>
      <c r="K67" s="946"/>
      <c r="L67" s="909"/>
      <c r="M67" s="909"/>
      <c r="N67" s="909"/>
      <c r="O67" s="909"/>
      <c r="P67" s="909"/>
      <c r="Q67" s="909"/>
      <c r="R67" s="913"/>
    </row>
    <row r="68" spans="1:18" ht="15">
      <c r="A68" s="910"/>
      <c r="B68" s="946"/>
      <c r="C68" s="946"/>
      <c r="D68" s="946"/>
      <c r="E68" s="946"/>
      <c r="F68" s="946"/>
      <c r="G68" s="946"/>
      <c r="H68" s="946"/>
      <c r="I68" s="946"/>
      <c r="J68" s="946"/>
      <c r="K68" s="946"/>
      <c r="L68" s="910"/>
      <c r="M68" s="910"/>
      <c r="N68" s="910"/>
      <c r="O68" s="910"/>
      <c r="P68" s="910"/>
      <c r="Q68" s="910"/>
      <c r="R68" s="913"/>
    </row>
    <row r="69" spans="1:18" ht="15">
      <c r="A69" s="938" t="s">
        <v>1047</v>
      </c>
      <c r="B69" s="1249" t="s">
        <v>1048</v>
      </c>
      <c r="C69" s="1249"/>
      <c r="D69" s="1249"/>
      <c r="E69" s="1249"/>
      <c r="F69" s="1249"/>
      <c r="G69" s="1249"/>
      <c r="H69" s="1249"/>
      <c r="I69" s="1249"/>
      <c r="J69" s="1249"/>
      <c r="K69" s="946"/>
      <c r="L69" s="910"/>
      <c r="M69" s="910"/>
      <c r="N69" s="910"/>
      <c r="O69" s="910"/>
      <c r="P69" s="910"/>
      <c r="Q69" s="910"/>
      <c r="R69" s="913"/>
    </row>
    <row r="70" spans="1:18" ht="4.5" customHeight="1">
      <c r="A70" s="910"/>
      <c r="B70" s="1249"/>
      <c r="C70" s="1249"/>
      <c r="D70" s="1249"/>
      <c r="E70" s="1249"/>
      <c r="F70" s="1249"/>
      <c r="G70" s="1249"/>
      <c r="H70" s="1249"/>
      <c r="I70" s="1249"/>
      <c r="J70" s="1249"/>
      <c r="K70" s="946"/>
      <c r="L70" s="910"/>
      <c r="M70" s="910"/>
      <c r="N70" s="910"/>
      <c r="O70" s="910"/>
      <c r="P70" s="910"/>
      <c r="Q70" s="910"/>
      <c r="R70" s="913"/>
    </row>
    <row r="71" spans="1:18" ht="11.45" customHeight="1">
      <c r="A71" s="910"/>
      <c r="B71" s="938"/>
      <c r="C71" s="946"/>
      <c r="D71" s="946"/>
      <c r="E71" s="946"/>
      <c r="F71" s="946"/>
      <c r="G71" s="946"/>
      <c r="H71" s="946"/>
      <c r="I71" s="946"/>
      <c r="J71" s="946"/>
      <c r="K71" s="946"/>
      <c r="L71" s="910"/>
      <c r="M71" s="910"/>
      <c r="N71" s="910"/>
      <c r="O71" s="910"/>
      <c r="P71" s="910"/>
      <c r="Q71" s="910"/>
      <c r="R71" s="913"/>
    </row>
    <row r="72" spans="1:18" ht="11.45" customHeight="1">
      <c r="A72" s="938" t="s">
        <v>1049</v>
      </c>
      <c r="B72" s="1250" t="s">
        <v>1050</v>
      </c>
      <c r="C72" s="1250"/>
      <c r="D72" s="1250"/>
      <c r="E72" s="1250"/>
      <c r="F72" s="1250"/>
      <c r="G72" s="1250"/>
      <c r="H72" s="1250"/>
      <c r="I72" s="1250"/>
      <c r="J72" s="946"/>
      <c r="K72" s="909"/>
      <c r="L72" s="910"/>
      <c r="M72" s="910"/>
      <c r="N72" s="910"/>
      <c r="O72" s="910"/>
      <c r="P72" s="910"/>
      <c r="Q72" s="910"/>
      <c r="R72" s="913"/>
    </row>
    <row r="73" spans="1:18" ht="15">
      <c r="A73" s="910"/>
      <c r="B73" s="1250"/>
      <c r="C73" s="1250"/>
      <c r="D73" s="1250"/>
      <c r="E73" s="1250"/>
      <c r="F73" s="1250"/>
      <c r="G73" s="1250"/>
      <c r="H73" s="1250"/>
      <c r="I73" s="1250"/>
      <c r="J73" s="946"/>
      <c r="K73" s="910"/>
      <c r="L73" s="910"/>
      <c r="M73" s="910"/>
      <c r="N73" s="910"/>
      <c r="O73" s="910"/>
      <c r="P73" s="910"/>
      <c r="Q73" s="910"/>
      <c r="R73" s="913"/>
    </row>
    <row r="74" spans="1:18" ht="15">
      <c r="A74" s="910"/>
      <c r="B74" s="1250"/>
      <c r="C74" s="1250"/>
      <c r="D74" s="1250"/>
      <c r="E74" s="1250"/>
      <c r="F74" s="1250"/>
      <c r="G74" s="1250"/>
      <c r="H74" s="1250"/>
      <c r="I74" s="1250"/>
      <c r="J74" s="910"/>
      <c r="K74" s="910"/>
      <c r="L74" s="910"/>
      <c r="M74" s="910"/>
      <c r="N74" s="910"/>
      <c r="O74" s="910"/>
      <c r="P74" s="910"/>
      <c r="Q74" s="910"/>
      <c r="R74" s="913"/>
    </row>
    <row r="75" spans="1:18" ht="15">
      <c r="A75" s="910"/>
      <c r="B75" s="910"/>
      <c r="C75" s="910"/>
      <c r="D75" s="910"/>
      <c r="E75" s="910"/>
      <c r="F75" s="910"/>
      <c r="G75" s="910"/>
      <c r="H75" s="910"/>
      <c r="I75" s="910"/>
      <c r="J75" s="910"/>
      <c r="K75" s="910"/>
      <c r="L75" s="910"/>
      <c r="M75" s="910"/>
      <c r="N75" s="910"/>
      <c r="O75" s="910"/>
      <c r="P75" s="910"/>
      <c r="Q75" s="910"/>
      <c r="R75" s="913"/>
    </row>
    <row r="76" spans="1:18" ht="15">
      <c r="A76" s="910"/>
      <c r="B76" s="910"/>
      <c r="C76" s="910"/>
      <c r="D76" s="910"/>
      <c r="E76" s="910"/>
      <c r="F76" s="910"/>
      <c r="G76" s="910"/>
      <c r="H76" s="910"/>
      <c r="I76" s="910"/>
      <c r="J76" s="910"/>
      <c r="K76" s="910"/>
      <c r="L76" s="910"/>
      <c r="M76" s="910"/>
      <c r="N76" s="910"/>
      <c r="O76" s="910"/>
      <c r="P76" s="910"/>
      <c r="Q76" s="910"/>
      <c r="R76" s="913"/>
    </row>
    <row r="80" spans="1:18">
      <c r="A80" s="980"/>
      <c r="B80" s="980"/>
      <c r="C80" s="980"/>
      <c r="D80" s="980"/>
      <c r="E80" s="980"/>
      <c r="F80" s="980"/>
      <c r="G80" s="980"/>
      <c r="H80" s="980"/>
      <c r="I80" s="980"/>
      <c r="J80" s="980"/>
      <c r="K80" s="980"/>
    </row>
    <row r="81" spans="1:11">
      <c r="A81" s="945"/>
      <c r="B81" s="945"/>
      <c r="C81" s="945"/>
      <c r="D81" s="945"/>
      <c r="E81" s="945"/>
      <c r="F81" s="945"/>
      <c r="G81" s="945"/>
      <c r="H81" s="945"/>
      <c r="I81" s="945"/>
      <c r="J81" s="945"/>
      <c r="K81" s="945"/>
    </row>
    <row r="82" spans="1:11">
      <c r="A82" s="945"/>
      <c r="B82" s="945"/>
      <c r="C82" s="945"/>
      <c r="D82" s="945"/>
      <c r="E82" s="945"/>
      <c r="F82" s="945"/>
      <c r="G82" s="945"/>
      <c r="H82" s="945"/>
      <c r="I82" s="945"/>
      <c r="J82" s="945"/>
      <c r="K82" s="945"/>
    </row>
    <row r="83" spans="1:11" ht="15">
      <c r="A83" s="910"/>
      <c r="B83" s="910"/>
      <c r="C83" s="910"/>
      <c r="D83" s="945"/>
      <c r="E83" s="945"/>
      <c r="F83" s="945"/>
      <c r="G83" s="945"/>
      <c r="H83" s="945"/>
      <c r="I83" s="945"/>
      <c r="J83" s="945"/>
      <c r="K83" s="945"/>
    </row>
    <row r="84" spans="1:11">
      <c r="A84" s="945"/>
      <c r="B84" s="945"/>
      <c r="C84" s="945"/>
      <c r="D84" s="945"/>
      <c r="E84" s="945"/>
      <c r="F84" s="945"/>
      <c r="G84" s="945"/>
      <c r="H84" s="945"/>
      <c r="I84" s="945"/>
      <c r="J84" s="945"/>
      <c r="K84" s="945"/>
    </row>
    <row r="85" spans="1:11">
      <c r="A85" s="945"/>
      <c r="B85" s="945"/>
      <c r="C85" s="945"/>
      <c r="D85" s="945"/>
      <c r="E85" s="945"/>
      <c r="F85" s="945"/>
      <c r="G85" s="945"/>
      <c r="H85" s="945"/>
      <c r="I85" s="945"/>
      <c r="J85" s="945"/>
      <c r="K85" s="945"/>
    </row>
    <row r="86" spans="1:11">
      <c r="A86" s="945"/>
      <c r="B86" s="945"/>
      <c r="C86" s="945"/>
      <c r="D86" s="945"/>
      <c r="E86" s="945"/>
      <c r="F86" s="945"/>
      <c r="G86" s="945"/>
      <c r="H86" s="945"/>
      <c r="I86" s="945"/>
      <c r="J86" s="945"/>
      <c r="K86" s="945"/>
    </row>
    <row r="87" spans="1:11">
      <c r="A87" s="945"/>
      <c r="B87" s="945"/>
      <c r="C87" s="945"/>
      <c r="D87" s="945"/>
      <c r="E87" s="945"/>
      <c r="F87" s="945"/>
      <c r="G87" s="945"/>
      <c r="H87" s="945"/>
      <c r="I87" s="945"/>
      <c r="J87" s="945"/>
      <c r="K87" s="945"/>
    </row>
    <row r="88" spans="1:11">
      <c r="A88" s="945"/>
      <c r="B88" s="945"/>
      <c r="C88" s="945"/>
      <c r="D88" s="945"/>
      <c r="E88" s="945"/>
      <c r="F88" s="945"/>
      <c r="G88" s="945"/>
      <c r="H88" s="945"/>
      <c r="I88" s="945"/>
      <c r="J88" s="945"/>
      <c r="K88" s="945"/>
    </row>
    <row r="89" spans="1:11">
      <c r="A89" s="945"/>
      <c r="B89" s="945"/>
      <c r="C89" s="945"/>
      <c r="D89" s="945"/>
      <c r="E89" s="945"/>
      <c r="F89" s="945"/>
      <c r="G89" s="945"/>
      <c r="H89" s="945"/>
      <c r="I89" s="945"/>
      <c r="J89" s="945"/>
      <c r="K89" s="945"/>
    </row>
    <row r="90" spans="1:11">
      <c r="A90" s="945"/>
      <c r="B90" s="945"/>
      <c r="C90" s="945"/>
      <c r="D90" s="945"/>
      <c r="E90" s="945"/>
      <c r="F90" s="945"/>
      <c r="G90" s="945"/>
      <c r="H90" s="945"/>
      <c r="I90" s="945"/>
      <c r="J90" s="945"/>
      <c r="K90" s="945"/>
    </row>
    <row r="91" spans="1:11">
      <c r="A91" s="945"/>
      <c r="B91" s="945"/>
      <c r="C91" s="945"/>
      <c r="D91" s="945"/>
      <c r="E91" s="945"/>
      <c r="F91" s="945"/>
      <c r="G91" s="945"/>
      <c r="H91" s="945"/>
      <c r="I91" s="945"/>
      <c r="J91" s="945"/>
      <c r="K91" s="945"/>
    </row>
    <row r="97" spans="1:11">
      <c r="B97" s="981"/>
    </row>
    <row r="98" spans="1:11" ht="15">
      <c r="A98" s="910"/>
      <c r="B98" s="938"/>
      <c r="C98" s="910"/>
      <c r="D98" s="910"/>
      <c r="E98" s="910"/>
      <c r="F98" s="910"/>
      <c r="G98" s="910"/>
      <c r="H98" s="910"/>
      <c r="I98" s="910"/>
      <c r="J98" s="910"/>
      <c r="K98" s="910"/>
    </row>
    <row r="99" spans="1:11" ht="15">
      <c r="A99" s="910"/>
      <c r="B99" s="909"/>
      <c r="C99" s="910"/>
      <c r="D99" s="910"/>
      <c r="E99" s="910"/>
      <c r="F99" s="910"/>
      <c r="G99" s="910"/>
      <c r="H99" s="910"/>
      <c r="I99" s="910"/>
      <c r="J99" s="910"/>
      <c r="K99" s="910"/>
    </row>
    <row r="100" spans="1:11" ht="15">
      <c r="A100" s="910"/>
      <c r="B100" s="909"/>
      <c r="C100" s="910"/>
      <c r="D100" s="910"/>
      <c r="E100" s="910"/>
      <c r="F100" s="910"/>
      <c r="G100" s="910"/>
      <c r="H100" s="910"/>
      <c r="I100" s="910"/>
      <c r="J100" s="910"/>
      <c r="K100" s="910"/>
    </row>
    <row r="101" spans="1:11" ht="15">
      <c r="A101" s="910"/>
      <c r="B101" s="909"/>
      <c r="C101" s="910"/>
      <c r="D101" s="910"/>
      <c r="E101" s="910"/>
      <c r="F101" s="910"/>
      <c r="G101" s="910"/>
      <c r="H101" s="910"/>
      <c r="I101" s="910"/>
      <c r="J101" s="910"/>
      <c r="K101" s="910"/>
    </row>
    <row r="102" spans="1:11" ht="15">
      <c r="A102" s="910"/>
      <c r="B102" s="909"/>
      <c r="C102" s="910"/>
      <c r="D102" s="909"/>
      <c r="E102" s="909"/>
      <c r="F102" s="909"/>
      <c r="G102" s="910"/>
      <c r="H102" s="910"/>
      <c r="I102" s="910"/>
      <c r="J102" s="910"/>
      <c r="K102" s="910"/>
    </row>
    <row r="103" spans="1:11">
      <c r="A103" s="949"/>
      <c r="B103" s="945"/>
      <c r="C103" s="945"/>
      <c r="D103" s="945"/>
      <c r="E103" s="945"/>
      <c r="F103" s="945"/>
      <c r="G103" s="945"/>
      <c r="H103" s="945"/>
      <c r="I103" s="945"/>
      <c r="J103" s="945"/>
      <c r="K103" s="945"/>
    </row>
    <row r="104" spans="1:11">
      <c r="A104" s="945"/>
      <c r="B104" s="945"/>
      <c r="C104" s="945"/>
      <c r="D104" s="945"/>
      <c r="E104" s="945"/>
      <c r="F104" s="945"/>
      <c r="G104" s="945"/>
      <c r="H104" s="945"/>
      <c r="I104" s="945"/>
      <c r="J104" s="945"/>
      <c r="K104" s="945"/>
    </row>
    <row r="105" spans="1:11">
      <c r="A105" s="945"/>
      <c r="B105" s="945"/>
      <c r="C105" s="945"/>
      <c r="D105" s="945"/>
      <c r="E105" s="945"/>
      <c r="F105" s="945"/>
      <c r="G105" s="945"/>
      <c r="H105" s="945"/>
      <c r="I105" s="945"/>
      <c r="J105" s="945"/>
      <c r="K105" s="945"/>
    </row>
    <row r="106" spans="1:11">
      <c r="A106" s="945"/>
      <c r="B106" s="945"/>
      <c r="C106" s="945"/>
      <c r="D106" s="945"/>
      <c r="E106" s="945"/>
      <c r="F106" s="945"/>
      <c r="G106" s="945"/>
      <c r="H106" s="945"/>
      <c r="I106" s="945"/>
      <c r="J106" s="945"/>
      <c r="K106" s="945"/>
    </row>
    <row r="107" spans="1:11">
      <c r="A107" s="945"/>
      <c r="B107" s="945"/>
      <c r="C107" s="945"/>
      <c r="D107" s="950"/>
      <c r="E107" s="950"/>
      <c r="F107" s="950"/>
      <c r="G107" s="945"/>
      <c r="H107" s="945"/>
      <c r="I107" s="945"/>
      <c r="J107" s="945"/>
      <c r="K107" s="945"/>
    </row>
    <row r="108" spans="1:11">
      <c r="A108" s="945"/>
      <c r="B108" s="945"/>
      <c r="C108" s="945"/>
      <c r="D108" s="947"/>
      <c r="E108" s="947"/>
      <c r="F108" s="947"/>
      <c r="G108" s="945"/>
      <c r="H108" s="945"/>
      <c r="I108" s="945"/>
      <c r="J108" s="945"/>
      <c r="K108" s="945"/>
    </row>
    <row r="109" spans="1:11">
      <c r="A109" s="945"/>
      <c r="B109" s="945"/>
      <c r="C109" s="945"/>
      <c r="D109" s="950"/>
      <c r="E109" s="950"/>
      <c r="F109" s="950"/>
      <c r="G109" s="945"/>
      <c r="H109" s="945"/>
      <c r="I109" s="945"/>
      <c r="J109" s="945"/>
      <c r="K109" s="945"/>
    </row>
    <row r="110" spans="1:11">
      <c r="A110" s="945"/>
      <c r="B110" s="945"/>
      <c r="C110" s="945"/>
      <c r="D110" s="945"/>
      <c r="E110" s="945"/>
      <c r="F110" s="945"/>
      <c r="G110" s="945"/>
      <c r="H110" s="945"/>
      <c r="I110" s="945"/>
      <c r="J110" s="945"/>
      <c r="K110" s="945"/>
    </row>
    <row r="111" spans="1:11">
      <c r="A111" s="945"/>
      <c r="B111" s="945"/>
      <c r="C111" s="945"/>
      <c r="D111" s="945"/>
      <c r="E111" s="945"/>
      <c r="F111" s="945"/>
      <c r="G111" s="945"/>
      <c r="H111" s="945"/>
      <c r="I111" s="945"/>
      <c r="J111" s="945"/>
      <c r="K111" s="945"/>
    </row>
    <row r="112" spans="1:11">
      <c r="A112" s="945"/>
      <c r="B112" s="945"/>
      <c r="C112" s="945"/>
      <c r="D112" s="945"/>
      <c r="E112" s="945"/>
      <c r="F112" s="945"/>
      <c r="G112" s="945"/>
      <c r="H112" s="945"/>
      <c r="I112" s="945"/>
      <c r="J112" s="945"/>
      <c r="K112" s="945"/>
    </row>
    <row r="113" spans="1:11" ht="15">
      <c r="A113" s="945"/>
      <c r="B113" s="910"/>
      <c r="C113" s="945"/>
      <c r="D113" s="945"/>
      <c r="E113" s="945"/>
      <c r="F113" s="945"/>
      <c r="G113" s="945"/>
      <c r="H113" s="945"/>
      <c r="I113" s="945"/>
      <c r="J113" s="945"/>
      <c r="K113" s="945"/>
    </row>
    <row r="114" spans="1:11">
      <c r="A114" s="945"/>
      <c r="B114" s="945"/>
      <c r="C114" s="945"/>
      <c r="D114" s="945"/>
      <c r="E114" s="945"/>
      <c r="F114" s="945"/>
      <c r="G114" s="945"/>
      <c r="H114" s="945"/>
      <c r="I114" s="945"/>
      <c r="J114" s="945"/>
      <c r="K114" s="945"/>
    </row>
    <row r="115" spans="1:11">
      <c r="A115" s="945"/>
      <c r="B115" s="945"/>
      <c r="C115" s="945"/>
      <c r="D115" s="945"/>
      <c r="E115" s="945"/>
      <c r="F115" s="945"/>
      <c r="G115" s="945"/>
      <c r="H115" s="945"/>
      <c r="I115" s="945"/>
      <c r="J115" s="945"/>
      <c r="K115" s="945"/>
    </row>
  </sheetData>
  <mergeCells count="17">
    <mergeCell ref="R16:R17"/>
    <mergeCell ref="B48:C48"/>
    <mergeCell ref="I9:J9"/>
    <mergeCell ref="K9:M9"/>
    <mergeCell ref="N9:O9"/>
    <mergeCell ref="P9:Q9"/>
    <mergeCell ref="P11:Q11"/>
    <mergeCell ref="R18:R19"/>
    <mergeCell ref="B29:C29"/>
    <mergeCell ref="P32:Q32"/>
    <mergeCell ref="R35:R36"/>
    <mergeCell ref="R37:R38"/>
    <mergeCell ref="A51:J52"/>
    <mergeCell ref="B55:J60"/>
    <mergeCell ref="B66:J67"/>
    <mergeCell ref="B69:J70"/>
    <mergeCell ref="B72:I7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99D43-3B88-4C89-B208-E9E40C4BC5B6}">
  <sheetPr>
    <pageSetUpPr fitToPage="1"/>
  </sheetPr>
  <dimension ref="A1:Q78"/>
  <sheetViews>
    <sheetView workbookViewId="0">
      <selection activeCell="F35" sqref="F35"/>
    </sheetView>
  </sheetViews>
  <sheetFormatPr defaultColWidth="11.85546875" defaultRowHeight="12.75"/>
  <cols>
    <col min="1" max="1" width="9" style="998" customWidth="1"/>
    <col min="2" max="2" width="15" style="999" bestFit="1" customWidth="1"/>
    <col min="3" max="3" width="4.140625" style="999" customWidth="1"/>
    <col min="4" max="4" width="21" style="999" bestFit="1" customWidth="1"/>
    <col min="5" max="5" width="29.7109375" style="999" bestFit="1" customWidth="1"/>
    <col min="6" max="6" width="21.42578125" style="999" customWidth="1"/>
    <col min="7" max="7" width="4.28515625" style="999" customWidth="1"/>
    <col min="8" max="8" width="19" style="999" customWidth="1"/>
    <col min="9" max="9" width="5" style="999" customWidth="1"/>
    <col min="10" max="10" width="19.85546875" style="999" customWidth="1"/>
    <col min="11" max="11" width="3.5703125" style="999" customWidth="1"/>
    <col min="12" max="12" width="19.7109375" style="999" customWidth="1"/>
    <col min="13" max="13" width="16" style="999" customWidth="1"/>
    <col min="14" max="14" width="19.140625" style="999" bestFit="1" customWidth="1"/>
    <col min="15" max="15" width="16.5703125" style="1002" bestFit="1" customWidth="1"/>
    <col min="16" max="16" width="15.28515625" style="999" bestFit="1" customWidth="1"/>
    <col min="17" max="16384" width="11.85546875" style="999"/>
  </cols>
  <sheetData>
    <row r="1" spans="1:17" ht="15">
      <c r="A1" s="998" t="s">
        <v>1086</v>
      </c>
      <c r="L1" s="1000"/>
      <c r="N1" s="1001" t="s">
        <v>1087</v>
      </c>
    </row>
    <row r="2" spans="1:17">
      <c r="A2" s="998" t="s">
        <v>1088</v>
      </c>
      <c r="L2" s="1003"/>
      <c r="N2" s="1004" t="s">
        <v>1089</v>
      </c>
    </row>
    <row r="3" spans="1:17">
      <c r="A3" s="998" t="s">
        <v>1090</v>
      </c>
      <c r="N3" s="1004" t="s">
        <v>1091</v>
      </c>
    </row>
    <row r="4" spans="1:17">
      <c r="A4" s="998" t="s">
        <v>1092</v>
      </c>
      <c r="N4" s="1001" t="s">
        <v>1093</v>
      </c>
    </row>
    <row r="5" spans="1:17">
      <c r="A5" s="998" t="s">
        <v>1094</v>
      </c>
    </row>
    <row r="6" spans="1:17">
      <c r="A6" s="998" t="s">
        <v>968</v>
      </c>
    </row>
    <row r="7" spans="1:17">
      <c r="A7" s="1260" t="s">
        <v>1095</v>
      </c>
      <c r="B7" s="1260"/>
      <c r="C7" s="1260"/>
      <c r="D7" s="1260"/>
      <c r="E7" s="1260"/>
      <c r="F7" s="1260"/>
      <c r="G7" s="1260"/>
      <c r="H7" s="1260"/>
      <c r="I7" s="1260"/>
      <c r="J7" s="1260"/>
      <c r="K7" s="1260"/>
      <c r="L7" s="1260"/>
      <c r="M7" s="1260"/>
      <c r="N7" s="1260"/>
    </row>
    <row r="9" spans="1:17">
      <c r="A9" s="1005" t="s">
        <v>148</v>
      </c>
      <c r="B9" s="1006" t="s">
        <v>149</v>
      </c>
      <c r="C9" s="1006"/>
      <c r="D9" s="1006" t="s">
        <v>150</v>
      </c>
      <c r="E9" s="1006" t="s">
        <v>151</v>
      </c>
      <c r="F9" s="1006" t="s">
        <v>152</v>
      </c>
      <c r="G9" s="1006"/>
      <c r="H9" s="1006" t="s">
        <v>1096</v>
      </c>
      <c r="I9" s="1006"/>
      <c r="J9" s="1006" t="s">
        <v>154</v>
      </c>
      <c r="K9" s="1006"/>
      <c r="L9" s="1006" t="s">
        <v>1097</v>
      </c>
      <c r="M9" s="1006" t="s">
        <v>156</v>
      </c>
      <c r="N9" s="1006" t="s">
        <v>1098</v>
      </c>
      <c r="Q9" s="1261"/>
    </row>
    <row r="10" spans="1:17">
      <c r="F10" s="1007"/>
      <c r="G10" s="1007"/>
      <c r="H10" s="1007"/>
      <c r="Q10" s="1261"/>
    </row>
    <row r="11" spans="1:17" ht="38.25">
      <c r="A11" s="998" t="s">
        <v>1099</v>
      </c>
      <c r="B11" s="999" t="s">
        <v>1100</v>
      </c>
      <c r="D11" s="1008" t="s">
        <v>1101</v>
      </c>
      <c r="E11" s="1006" t="s">
        <v>987</v>
      </c>
      <c r="F11" s="1008" t="s">
        <v>1102</v>
      </c>
      <c r="G11" s="1008"/>
      <c r="H11" s="1008" t="s">
        <v>1103</v>
      </c>
      <c r="I11" s="1009"/>
      <c r="J11" s="1008" t="s">
        <v>1104</v>
      </c>
      <c r="L11" s="1008" t="s">
        <v>1105</v>
      </c>
      <c r="M11" s="1008" t="s">
        <v>1106</v>
      </c>
      <c r="N11" s="1008" t="s">
        <v>1107</v>
      </c>
    </row>
    <row r="12" spans="1:17" ht="15">
      <c r="D12" s="1008"/>
      <c r="E12" s="1006"/>
      <c r="F12" s="1008"/>
      <c r="G12" s="1008"/>
      <c r="H12" s="1008"/>
      <c r="I12" s="1009"/>
      <c r="J12" s="1008"/>
      <c r="L12" s="1008"/>
      <c r="N12" s="1007"/>
    </row>
    <row r="13" spans="1:17" ht="15">
      <c r="A13" s="1010" t="s">
        <v>1108</v>
      </c>
      <c r="D13" s="1008"/>
      <c r="E13" s="1006"/>
      <c r="F13" s="1008"/>
      <c r="G13" s="1008"/>
      <c r="H13" s="1008"/>
      <c r="I13" s="1009"/>
      <c r="J13" s="1008"/>
      <c r="L13" s="1008"/>
      <c r="N13" s="1007"/>
    </row>
    <row r="14" spans="1:17">
      <c r="D14" s="1002"/>
      <c r="E14" s="1002"/>
      <c r="F14" s="1011"/>
      <c r="G14" s="1011"/>
      <c r="H14" s="1011"/>
      <c r="I14" s="1011"/>
      <c r="J14" s="1011"/>
      <c r="K14" s="1011"/>
      <c r="L14" s="1011"/>
      <c r="M14" s="1002"/>
      <c r="N14" s="1002"/>
    </row>
    <row r="15" spans="1:17" ht="12.6" customHeight="1">
      <c r="A15" s="1012">
        <v>1</v>
      </c>
      <c r="B15" s="1013" t="s">
        <v>1109</v>
      </c>
      <c r="D15" s="1014">
        <v>299354118</v>
      </c>
      <c r="E15" s="1002" t="s">
        <v>1110</v>
      </c>
      <c r="N15" s="1002"/>
    </row>
    <row r="16" spans="1:17" ht="15">
      <c r="A16" s="1012">
        <f>+A15+1</f>
        <v>2</v>
      </c>
      <c r="B16" s="1013"/>
      <c r="D16" s="1015">
        <v>91360.11</v>
      </c>
      <c r="E16" s="1002" t="s">
        <v>1111</v>
      </c>
      <c r="F16" s="1009"/>
      <c r="G16" s="1009"/>
      <c r="H16" s="1016"/>
      <c r="I16" s="1009"/>
      <c r="J16" s="1009"/>
      <c r="K16" s="1009"/>
      <c r="L16" s="1009"/>
      <c r="M16" s="1002"/>
      <c r="N16" s="1002"/>
    </row>
    <row r="17" spans="1:16">
      <c r="A17" s="1012">
        <f>++A16+1</f>
        <v>3</v>
      </c>
      <c r="B17" s="1013" t="s">
        <v>1112</v>
      </c>
      <c r="D17" s="1014">
        <f>+D15-D16</f>
        <v>299262757.88999999</v>
      </c>
      <c r="F17" s="1011">
        <v>114925970.95</v>
      </c>
      <c r="G17" s="1011"/>
      <c r="H17" s="1017">
        <f>+F17/D17</f>
        <v>0.38403031423055767</v>
      </c>
      <c r="I17" s="1018"/>
      <c r="J17" s="1011">
        <f>-F17</f>
        <v>-114925970.95</v>
      </c>
      <c r="K17" s="1011"/>
      <c r="L17" s="1011">
        <f>+F17+J17</f>
        <v>0</v>
      </c>
      <c r="M17" s="1002"/>
      <c r="N17" s="1002">
        <f>+D17-L17</f>
        <v>299262757.88999999</v>
      </c>
    </row>
    <row r="18" spans="1:16">
      <c r="A18" s="1012"/>
      <c r="B18" s="1013"/>
      <c r="D18" s="1002"/>
      <c r="E18" s="1002"/>
      <c r="F18" s="1019"/>
      <c r="G18" s="1019"/>
      <c r="H18" s="1017"/>
      <c r="I18" s="1018"/>
      <c r="J18" s="1011"/>
      <c r="K18" s="1011"/>
      <c r="L18" s="1011"/>
      <c r="M18" s="1002"/>
      <c r="N18" s="1002"/>
    </row>
    <row r="19" spans="1:16">
      <c r="A19" s="1012">
        <f>+A17+1</f>
        <v>4</v>
      </c>
      <c r="B19" s="1013" t="s">
        <v>1113</v>
      </c>
      <c r="D19" s="1002">
        <v>-289979890</v>
      </c>
      <c r="E19" s="1002" t="s">
        <v>1114</v>
      </c>
      <c r="F19" s="1011">
        <v>-115991956.2</v>
      </c>
      <c r="G19" s="1011"/>
      <c r="H19" s="1017">
        <f>+F19/D19</f>
        <v>0.40000000068970298</v>
      </c>
      <c r="I19" s="1262"/>
      <c r="J19" s="1011"/>
      <c r="K19" s="1011"/>
      <c r="L19" s="1011">
        <f>+F19+J19</f>
        <v>-115991956.2</v>
      </c>
      <c r="M19" s="1002" t="s">
        <v>996</v>
      </c>
      <c r="N19" s="1002">
        <f>+D19-L19</f>
        <v>-173987933.80000001</v>
      </c>
    </row>
    <row r="20" spans="1:16">
      <c r="A20" s="1012"/>
      <c r="B20" s="1013"/>
      <c r="D20" s="1002"/>
      <c r="E20" s="1002"/>
      <c r="F20" s="1011"/>
      <c r="G20" s="1011"/>
      <c r="H20" s="1020"/>
      <c r="I20" s="1262"/>
      <c r="J20" s="1011"/>
      <c r="K20" s="1011"/>
      <c r="L20" s="1011"/>
      <c r="M20" s="1002"/>
      <c r="N20" s="1002"/>
    </row>
    <row r="21" spans="1:16">
      <c r="A21" s="1012">
        <f>+A19+1</f>
        <v>5</v>
      </c>
      <c r="B21" s="1013" t="s">
        <v>1115</v>
      </c>
      <c r="D21" s="1002">
        <v>-1982378027</v>
      </c>
      <c r="E21" s="1002" t="s">
        <v>1116</v>
      </c>
      <c r="F21" s="1011">
        <v>-785862991.44999969</v>
      </c>
      <c r="G21" s="1011"/>
      <c r="H21" s="1017">
        <f>+F21/D21</f>
        <v>0.39642438563510152</v>
      </c>
      <c r="I21" s="1019"/>
      <c r="J21" s="1011">
        <v>-13641125.550000001</v>
      </c>
      <c r="K21" s="1011"/>
      <c r="L21" s="1011">
        <f>+F21+J21-L22</f>
        <v>-568878716.31999969</v>
      </c>
      <c r="M21" s="1002" t="s">
        <v>1117</v>
      </c>
      <c r="N21" s="1002">
        <f>+D21-L21-L22</f>
        <v>-1182873910.0000002</v>
      </c>
    </row>
    <row r="22" spans="1:16">
      <c r="A22" s="1012"/>
      <c r="B22" s="1013"/>
      <c r="D22" s="1002"/>
      <c r="E22" s="1002"/>
      <c r="F22" s="1011"/>
      <c r="G22" s="1011"/>
      <c r="H22" s="1020"/>
      <c r="I22" s="1011"/>
      <c r="J22" s="1011"/>
      <c r="K22" s="1011"/>
      <c r="L22" s="1011">
        <v>-230625400.68000001</v>
      </c>
      <c r="M22" s="1002" t="s">
        <v>1118</v>
      </c>
      <c r="N22" s="1002"/>
    </row>
    <row r="23" spans="1:16">
      <c r="A23" s="1012">
        <f>+A21+1</f>
        <v>6</v>
      </c>
      <c r="B23" s="1013" t="s">
        <v>1119</v>
      </c>
      <c r="D23" s="1002">
        <v>-426174211</v>
      </c>
      <c r="E23" s="1002" t="s">
        <v>1120</v>
      </c>
      <c r="H23" s="1021"/>
      <c r="N23" s="1002"/>
    </row>
    <row r="24" spans="1:16" ht="15">
      <c r="A24" s="1012">
        <f>+A23+1</f>
        <v>7</v>
      </c>
      <c r="B24" s="1013"/>
      <c r="D24" s="1022">
        <f>-118065681-12508624+65067609-4597370</f>
        <v>-70104066</v>
      </c>
      <c r="E24" s="1002" t="s">
        <v>1121</v>
      </c>
      <c r="F24" s="1009"/>
      <c r="G24" s="1009"/>
      <c r="H24" s="1023"/>
      <c r="I24" s="1024"/>
      <c r="J24" s="1011"/>
      <c r="K24" s="1011"/>
      <c r="L24" s="1011"/>
      <c r="M24" s="1002"/>
      <c r="N24" s="1002"/>
    </row>
    <row r="25" spans="1:16">
      <c r="A25" s="1012">
        <f>++A24+1</f>
        <v>8</v>
      </c>
      <c r="B25" s="1013" t="s">
        <v>1122</v>
      </c>
      <c r="D25" s="1002">
        <f>+D23-D24</f>
        <v>-356070145</v>
      </c>
      <c r="F25" s="1011">
        <v>-141371168.37999997</v>
      </c>
      <c r="G25" s="1011"/>
      <c r="H25" s="1017">
        <f>+F25/D25</f>
        <v>0.39703179377759956</v>
      </c>
      <c r="I25" s="1024"/>
      <c r="J25" s="1011">
        <f>-J17-J21</f>
        <v>128567096.5</v>
      </c>
      <c r="K25" s="1011"/>
      <c r="L25" s="1011">
        <f>+F25+J25</f>
        <v>-12804071.879999965</v>
      </c>
      <c r="M25" s="1002" t="s">
        <v>1005</v>
      </c>
      <c r="N25" s="1002">
        <f>+D25-L25</f>
        <v>-343266073.12</v>
      </c>
    </row>
    <row r="26" spans="1:16">
      <c r="A26" s="1012"/>
      <c r="E26" s="1002"/>
      <c r="F26" s="1011"/>
      <c r="G26" s="1011"/>
      <c r="H26" s="1020"/>
      <c r="I26" s="1025"/>
      <c r="J26" s="1011"/>
      <c r="K26" s="1011"/>
      <c r="L26" s="1011"/>
      <c r="M26" s="1002"/>
      <c r="N26" s="1002"/>
    </row>
    <row r="27" spans="1:16">
      <c r="A27" s="1012">
        <f>+A25+1</f>
        <v>9</v>
      </c>
      <c r="B27" s="999" t="s">
        <v>118</v>
      </c>
      <c r="D27" s="1026">
        <f>+D17+D19+D21+D25</f>
        <v>-2329165304.1100001</v>
      </c>
      <c r="E27" s="1002" t="s">
        <v>1123</v>
      </c>
      <c r="F27" s="1027">
        <f>SUM(F16:F25)</f>
        <v>-928300145.07999969</v>
      </c>
      <c r="G27" s="1028"/>
      <c r="H27" s="1029"/>
      <c r="J27" s="1027">
        <f>SUM(J16:J25)</f>
        <v>0</v>
      </c>
      <c r="K27" s="1011"/>
      <c r="L27" s="1027">
        <f>SUM(L16:L25)</f>
        <v>-928300145.0799998</v>
      </c>
      <c r="M27" s="1002"/>
      <c r="N27" s="1027">
        <f>SUM(N16:N25)</f>
        <v>-1400865159.0300002</v>
      </c>
    </row>
    <row r="28" spans="1:16">
      <c r="A28" s="1012"/>
      <c r="D28" s="1002"/>
      <c r="E28" s="1030"/>
      <c r="F28" s="1019"/>
      <c r="G28" s="1019"/>
      <c r="H28" s="1017"/>
      <c r="I28" s="1011"/>
      <c r="J28" s="1011"/>
      <c r="K28" s="1011"/>
      <c r="L28" s="1011"/>
      <c r="M28" s="1002"/>
      <c r="N28" s="1002"/>
    </row>
    <row r="29" spans="1:16">
      <c r="A29" s="1031" t="s">
        <v>1124</v>
      </c>
      <c r="D29" s="1002"/>
      <c r="E29" s="1002"/>
      <c r="F29" s="1019"/>
      <c r="G29" s="1019"/>
      <c r="H29" s="1017"/>
      <c r="I29" s="1019"/>
      <c r="J29" s="1011"/>
      <c r="K29" s="1011"/>
      <c r="L29" s="1011"/>
      <c r="M29" s="1002"/>
      <c r="N29" s="1002"/>
      <c r="P29" s="1002"/>
    </row>
    <row r="30" spans="1:16" ht="15">
      <c r="A30" s="1012"/>
      <c r="F30" s="1025"/>
      <c r="G30" s="1025"/>
      <c r="H30" s="1017"/>
      <c r="J30" s="1009"/>
      <c r="K30" s="1011"/>
      <c r="L30" s="1011"/>
      <c r="N30" s="1002"/>
      <c r="P30" s="1002"/>
    </row>
    <row r="31" spans="1:16">
      <c r="A31" s="1012">
        <f>+A27+1</f>
        <v>10</v>
      </c>
      <c r="B31" s="1013" t="s">
        <v>1112</v>
      </c>
      <c r="D31" s="1002">
        <v>64030741.600000001</v>
      </c>
      <c r="E31" s="1013" t="s">
        <v>634</v>
      </c>
      <c r="F31" s="1011">
        <v>25564247.969999999</v>
      </c>
      <c r="G31" s="1011"/>
      <c r="H31" s="1017">
        <f>+F31/D31</f>
        <v>0.39924959997652126</v>
      </c>
      <c r="I31" s="1025"/>
      <c r="J31" s="1011">
        <f>-F31</f>
        <v>-25564247.969999999</v>
      </c>
      <c r="K31" s="1011"/>
      <c r="L31" s="1011">
        <f>+F31+J31</f>
        <v>0</v>
      </c>
      <c r="N31" s="1002">
        <f>+D31-L31</f>
        <v>64030741.600000001</v>
      </c>
      <c r="P31" s="1002"/>
    </row>
    <row r="32" spans="1:16">
      <c r="A32" s="1012"/>
      <c r="B32" s="1013"/>
      <c r="D32" s="1002"/>
      <c r="E32" s="1002"/>
      <c r="F32" s="1019"/>
      <c r="G32" s="1019"/>
      <c r="H32" s="1017"/>
      <c r="I32" s="1019"/>
      <c r="J32" s="1011"/>
      <c r="K32" s="1011"/>
      <c r="L32" s="1011"/>
      <c r="N32" s="1002"/>
      <c r="O32" s="999"/>
      <c r="P32" s="1002"/>
    </row>
    <row r="33" spans="1:16">
      <c r="A33" s="1012">
        <f>+A31+1</f>
        <v>11</v>
      </c>
      <c r="B33" s="1013" t="s">
        <v>1115</v>
      </c>
      <c r="D33" s="1002">
        <v>-532673985.5</v>
      </c>
      <c r="E33" s="1013" t="s">
        <v>634</v>
      </c>
      <c r="F33" s="1011">
        <v>-211738348.20000005</v>
      </c>
      <c r="G33" s="1011"/>
      <c r="H33" s="1017">
        <f>+F33/D33</f>
        <v>0.39750082407581749</v>
      </c>
      <c r="I33" s="1019"/>
      <c r="J33" s="1011">
        <v>-3524424.8</v>
      </c>
      <c r="K33" s="1011"/>
      <c r="L33" s="1011">
        <f>+F33+J33-L34</f>
        <v>-185402169.00000006</v>
      </c>
      <c r="M33" s="999" t="s">
        <v>996</v>
      </c>
      <c r="N33" s="1002">
        <f>+D33-L33-L34</f>
        <v>-317411212.49999994</v>
      </c>
      <c r="O33" s="999"/>
      <c r="P33" s="1032"/>
    </row>
    <row r="34" spans="1:16">
      <c r="A34" s="1012"/>
      <c r="B34" s="1013"/>
      <c r="D34" s="1002"/>
      <c r="E34" s="1013"/>
      <c r="F34" s="1011"/>
      <c r="G34" s="1011"/>
      <c r="H34" s="1017"/>
      <c r="I34" s="1019"/>
      <c r="J34" s="1011"/>
      <c r="K34" s="1011"/>
      <c r="L34" s="1011">
        <v>-29860604</v>
      </c>
      <c r="M34" s="999" t="s">
        <v>1005</v>
      </c>
      <c r="N34" s="1002"/>
      <c r="O34" s="999"/>
      <c r="P34" s="1032"/>
    </row>
    <row r="35" spans="1:16">
      <c r="A35" s="1012"/>
      <c r="B35" s="1013"/>
      <c r="D35" s="1002"/>
      <c r="E35" s="1002"/>
      <c r="H35" s="1021"/>
      <c r="I35" s="1033"/>
      <c r="J35" s="1011"/>
      <c r="K35" s="1011"/>
      <c r="L35" s="1011"/>
      <c r="N35" s="1002"/>
      <c r="O35" s="999"/>
      <c r="P35" s="1002"/>
    </row>
    <row r="36" spans="1:16">
      <c r="A36" s="1012">
        <f>+A33+1</f>
        <v>12</v>
      </c>
      <c r="B36" s="1013" t="s">
        <v>1122</v>
      </c>
      <c r="D36" s="1034">
        <v>-27241044.940000001</v>
      </c>
      <c r="E36" s="1013" t="s">
        <v>634</v>
      </c>
      <c r="F36" s="1011">
        <v>-11031930.069999998</v>
      </c>
      <c r="G36" s="1011"/>
      <c r="H36" s="1017">
        <f>+F36/D36</f>
        <v>0.40497455564933249</v>
      </c>
      <c r="I36" s="1019"/>
      <c r="J36" s="1011">
        <f>-J31-J33</f>
        <v>29088672.77</v>
      </c>
      <c r="K36" s="1011"/>
      <c r="L36" s="1011">
        <f>+F36+J36</f>
        <v>18056742.700000003</v>
      </c>
      <c r="M36" s="999" t="s">
        <v>1005</v>
      </c>
      <c r="N36" s="1002">
        <f>+D36-L36</f>
        <v>-45297787.640000001</v>
      </c>
      <c r="O36" s="999"/>
      <c r="P36" s="1002"/>
    </row>
    <row r="37" spans="1:16">
      <c r="A37" s="1012"/>
      <c r="D37" s="1034"/>
      <c r="E37" s="1002"/>
      <c r="F37" s="1019"/>
      <c r="G37" s="1019"/>
      <c r="H37" s="1017"/>
      <c r="I37" s="1019"/>
      <c r="J37" s="1011"/>
      <c r="K37" s="1011"/>
      <c r="L37" s="1011"/>
      <c r="N37" s="1002"/>
      <c r="O37" s="999"/>
      <c r="P37" s="1002"/>
    </row>
    <row r="38" spans="1:16">
      <c r="A38" s="1012">
        <f>+A36+1</f>
        <v>13</v>
      </c>
      <c r="B38" s="999" t="s">
        <v>118</v>
      </c>
      <c r="D38" s="1035">
        <f>+D36+D33+D31</f>
        <v>-495884288.84000003</v>
      </c>
      <c r="E38" s="1002" t="s">
        <v>1125</v>
      </c>
      <c r="F38" s="1027">
        <f>SUM(F31:F36)</f>
        <v>-197206030.30000004</v>
      </c>
      <c r="G38" s="1028"/>
      <c r="H38" s="1036"/>
      <c r="J38" s="1027">
        <f>SUM(J31:J36)</f>
        <v>0</v>
      </c>
      <c r="K38" s="1011"/>
      <c r="L38" s="1027">
        <f>SUM(L31:L36)</f>
        <v>-197206030.30000007</v>
      </c>
      <c r="N38" s="1027">
        <f>SUM(N31:N36)</f>
        <v>-298678258.53999996</v>
      </c>
      <c r="O38" s="999"/>
      <c r="P38" s="1002"/>
    </row>
    <row r="39" spans="1:16">
      <c r="A39" s="1012"/>
      <c r="D39" s="1034"/>
      <c r="E39" s="1002"/>
      <c r="F39" s="1028"/>
      <c r="G39" s="1028"/>
      <c r="H39" s="1036"/>
      <c r="J39" s="1028"/>
      <c r="K39" s="1011"/>
      <c r="L39" s="1028"/>
      <c r="N39" s="1002"/>
      <c r="O39" s="999"/>
      <c r="P39" s="1002"/>
    </row>
    <row r="40" spans="1:16">
      <c r="A40" s="1012"/>
      <c r="D40" s="1034"/>
      <c r="E40" s="1002"/>
      <c r="F40" s="1028"/>
      <c r="G40" s="1028"/>
      <c r="H40" s="1036"/>
      <c r="J40" s="1028"/>
      <c r="K40" s="1011"/>
      <c r="L40" s="1028"/>
      <c r="N40" s="1002"/>
      <c r="O40" s="999"/>
      <c r="P40" s="1002"/>
    </row>
    <row r="41" spans="1:16">
      <c r="A41" s="1258" t="s">
        <v>1126</v>
      </c>
      <c r="B41" s="1258"/>
      <c r="C41" s="1258"/>
      <c r="D41" s="1258"/>
      <c r="E41" s="1258"/>
      <c r="F41" s="1258"/>
      <c r="G41" s="1258"/>
      <c r="H41" s="1258"/>
      <c r="N41" s="1002"/>
      <c r="O41" s="999"/>
      <c r="P41" s="1002"/>
    </row>
    <row r="42" spans="1:16">
      <c r="A42" s="1258"/>
      <c r="B42" s="1258"/>
      <c r="C42" s="1258"/>
      <c r="D42" s="1258"/>
      <c r="E42" s="1258"/>
      <c r="F42" s="1258"/>
      <c r="G42" s="1258"/>
      <c r="H42" s="1258"/>
      <c r="N42" s="1002"/>
      <c r="O42" s="999"/>
      <c r="P42" s="1002"/>
    </row>
    <row r="43" spans="1:16">
      <c r="A43" s="1258"/>
      <c r="B43" s="1258"/>
      <c r="C43" s="1258"/>
      <c r="D43" s="1258"/>
      <c r="E43" s="1258"/>
      <c r="F43" s="1258"/>
      <c r="G43" s="1258"/>
      <c r="H43" s="1258"/>
      <c r="N43" s="1002"/>
      <c r="O43" s="999"/>
      <c r="P43" s="1002"/>
    </row>
    <row r="44" spans="1:16">
      <c r="A44" s="1258"/>
      <c r="B44" s="1258"/>
      <c r="C44" s="1258"/>
      <c r="D44" s="1258"/>
      <c r="E44" s="1258"/>
      <c r="F44" s="1258"/>
      <c r="G44" s="1258"/>
      <c r="H44" s="1258"/>
      <c r="N44" s="1002"/>
      <c r="O44" s="999"/>
      <c r="P44" s="1002"/>
    </row>
    <row r="45" spans="1:16">
      <c r="A45" s="1012"/>
      <c r="N45" s="1002"/>
      <c r="O45" s="999"/>
      <c r="P45" s="1002"/>
    </row>
    <row r="46" spans="1:16">
      <c r="A46" s="998" t="s">
        <v>1127</v>
      </c>
      <c r="B46" s="1258" t="s">
        <v>1128</v>
      </c>
      <c r="C46" s="1258"/>
      <c r="D46" s="1258"/>
      <c r="E46" s="1258"/>
      <c r="F46" s="1258"/>
      <c r="G46" s="1258"/>
      <c r="H46" s="1258"/>
      <c r="N46" s="1002"/>
      <c r="O46" s="999"/>
      <c r="P46" s="1002"/>
    </row>
    <row r="47" spans="1:16">
      <c r="B47" s="1258"/>
      <c r="C47" s="1258"/>
      <c r="D47" s="1258"/>
      <c r="E47" s="1258"/>
      <c r="F47" s="1258"/>
      <c r="G47" s="1258"/>
      <c r="H47" s="1258"/>
      <c r="N47" s="1002"/>
      <c r="O47" s="999"/>
      <c r="P47" s="1002"/>
    </row>
    <row r="48" spans="1:16">
      <c r="B48" s="1258"/>
      <c r="C48" s="1258"/>
      <c r="D48" s="1258"/>
      <c r="E48" s="1258"/>
      <c r="F48" s="1258"/>
      <c r="G48" s="1258"/>
      <c r="H48" s="1258"/>
      <c r="N48" s="1002"/>
      <c r="O48" s="999"/>
      <c r="P48" s="1002"/>
    </row>
    <row r="49" spans="1:14" ht="15">
      <c r="A49" s="999"/>
      <c r="I49" s="1009"/>
      <c r="J49" s="1002"/>
      <c r="K49" s="1002"/>
      <c r="L49" s="1002"/>
      <c r="M49" s="1002"/>
      <c r="N49" s="1002"/>
    </row>
    <row r="50" spans="1:14" ht="15.6" customHeight="1">
      <c r="A50" s="998" t="s">
        <v>1129</v>
      </c>
      <c r="B50" s="1258" t="s">
        <v>1130</v>
      </c>
      <c r="C50" s="1258"/>
      <c r="D50" s="1258"/>
      <c r="E50" s="1258"/>
      <c r="F50" s="1258"/>
      <c r="G50" s="1258"/>
      <c r="H50" s="1258"/>
      <c r="J50" s="1002"/>
      <c r="K50" s="1002"/>
      <c r="L50" s="1002"/>
      <c r="M50" s="1002"/>
      <c r="N50" s="1002"/>
    </row>
    <row r="51" spans="1:14" ht="12.6" customHeight="1">
      <c r="B51" s="1258"/>
      <c r="C51" s="1258"/>
      <c r="D51" s="1258"/>
      <c r="E51" s="1258"/>
      <c r="F51" s="1258"/>
      <c r="G51" s="1258"/>
      <c r="H51" s="1258"/>
      <c r="J51" s="1002"/>
      <c r="K51" s="1002"/>
      <c r="L51" s="1002"/>
      <c r="M51" s="1002"/>
      <c r="N51" s="1002"/>
    </row>
    <row r="52" spans="1:14" ht="12.6" customHeight="1">
      <c r="A52" s="999"/>
      <c r="J52" s="1002"/>
      <c r="K52" s="1002"/>
      <c r="L52" s="1002"/>
      <c r="M52" s="1002"/>
      <c r="N52" s="1002"/>
    </row>
    <row r="53" spans="1:14" ht="12.6" customHeight="1">
      <c r="A53" s="998" t="s">
        <v>1131</v>
      </c>
      <c r="B53" s="1258" t="s">
        <v>1132</v>
      </c>
      <c r="C53" s="1258"/>
      <c r="D53" s="1258"/>
      <c r="E53" s="1258"/>
      <c r="F53" s="1258"/>
      <c r="G53" s="1258"/>
      <c r="H53" s="1258"/>
      <c r="I53" s="1258"/>
      <c r="J53" s="1002"/>
      <c r="K53" s="1002"/>
      <c r="L53" s="1002"/>
      <c r="M53" s="1002"/>
      <c r="N53" s="1002"/>
    </row>
    <row r="54" spans="1:14" ht="15">
      <c r="A54" s="1037"/>
      <c r="B54" s="1258"/>
      <c r="C54" s="1258"/>
      <c r="D54" s="1258"/>
      <c r="E54" s="1258"/>
      <c r="F54" s="1258"/>
      <c r="G54" s="1258"/>
      <c r="H54" s="1258"/>
      <c r="I54" s="1258"/>
      <c r="J54" s="1002"/>
      <c r="K54" s="1002"/>
      <c r="L54" s="1002"/>
      <c r="M54" s="1002"/>
      <c r="N54" s="1002"/>
    </row>
    <row r="55" spans="1:14" ht="12.6" customHeight="1">
      <c r="A55" s="999"/>
      <c r="J55" s="1002"/>
      <c r="K55" s="1002"/>
      <c r="L55" s="1002"/>
      <c r="M55" s="1002"/>
      <c r="N55" s="1002"/>
    </row>
    <row r="56" spans="1:14">
      <c r="A56" s="999" t="s">
        <v>1133</v>
      </c>
      <c r="B56" s="1259" t="s">
        <v>1134</v>
      </c>
      <c r="C56" s="1259"/>
      <c r="D56" s="1259"/>
      <c r="E56" s="1259"/>
      <c r="F56" s="1259"/>
      <c r="J56" s="1002"/>
      <c r="K56" s="1002"/>
      <c r="L56" s="1002"/>
      <c r="M56" s="1002"/>
      <c r="N56" s="1002"/>
    </row>
    <row r="57" spans="1:14">
      <c r="B57" s="1259"/>
      <c r="C57" s="1259"/>
      <c r="D57" s="1259"/>
      <c r="E57" s="1259"/>
      <c r="F57" s="1259"/>
      <c r="J57" s="1002"/>
      <c r="K57" s="1002"/>
      <c r="L57" s="1002"/>
      <c r="M57" s="1002"/>
      <c r="N57" s="1002"/>
    </row>
    <row r="58" spans="1:14">
      <c r="A58" s="999"/>
      <c r="J58" s="1002"/>
      <c r="K58" s="1002"/>
      <c r="L58" s="1002"/>
      <c r="M58" s="1002"/>
      <c r="N58" s="1002"/>
    </row>
    <row r="59" spans="1:14">
      <c r="A59" s="999"/>
      <c r="J59" s="1002"/>
      <c r="K59" s="1002"/>
      <c r="L59" s="1002"/>
      <c r="M59" s="1002"/>
      <c r="N59" s="1002"/>
    </row>
    <row r="60" spans="1:14">
      <c r="E60" s="1038"/>
      <c r="I60" s="1002"/>
      <c r="J60" s="1002"/>
      <c r="K60" s="1002"/>
      <c r="L60" s="1002"/>
    </row>
    <row r="61" spans="1:14">
      <c r="G61" s="1039"/>
      <c r="H61" s="1039"/>
      <c r="I61" s="1002"/>
      <c r="J61" s="1002"/>
      <c r="K61" s="1002"/>
      <c r="L61" s="1002"/>
    </row>
    <row r="62" spans="1:14">
      <c r="G62" s="1039"/>
      <c r="H62" s="1039"/>
      <c r="I62" s="1002"/>
    </row>
    <row r="63" spans="1:14" ht="9.9499999999999993" customHeight="1"/>
    <row r="66" spans="1:16" ht="15">
      <c r="A66" s="1037"/>
      <c r="B66" s="1009"/>
      <c r="C66" s="1009"/>
      <c r="D66" s="1009"/>
      <c r="E66" s="1009"/>
      <c r="F66" s="1009"/>
      <c r="G66" s="1009"/>
      <c r="H66" s="1009"/>
      <c r="I66" s="1009"/>
      <c r="J66" s="1009"/>
      <c r="K66" s="1009"/>
      <c r="L66" s="1009"/>
      <c r="M66" s="1009"/>
      <c r="N66" s="1009"/>
      <c r="O66" s="1009"/>
    </row>
    <row r="67" spans="1:16" ht="15">
      <c r="A67" s="1037"/>
      <c r="B67" s="1009"/>
      <c r="C67" s="1009"/>
      <c r="D67" s="1009"/>
      <c r="E67" s="1009"/>
      <c r="F67" s="1009"/>
      <c r="G67" s="1009"/>
      <c r="H67" s="1009"/>
      <c r="I67" s="1009"/>
      <c r="J67" s="1009"/>
      <c r="K67" s="1009"/>
      <c r="L67" s="1009"/>
      <c r="M67" s="1009"/>
      <c r="N67" s="1009"/>
      <c r="O67" s="1009"/>
    </row>
    <row r="68" spans="1:16" ht="15">
      <c r="A68" s="1037"/>
      <c r="B68" s="1009"/>
      <c r="C68" s="1009"/>
      <c r="D68" s="1009"/>
      <c r="E68" s="1009"/>
      <c r="F68" s="1009"/>
      <c r="G68" s="1009"/>
      <c r="H68" s="1009"/>
      <c r="I68" s="1009"/>
      <c r="J68" s="1009"/>
      <c r="K68" s="1009"/>
      <c r="L68" s="1009"/>
      <c r="M68" s="1009"/>
      <c r="N68" s="1009"/>
      <c r="O68" s="1009"/>
    </row>
    <row r="69" spans="1:16" ht="15">
      <c r="A69" s="1037"/>
      <c r="B69" s="1009"/>
      <c r="C69" s="1009"/>
      <c r="D69" s="1009"/>
      <c r="E69" s="1009"/>
      <c r="F69" s="1009"/>
      <c r="G69" s="1009"/>
      <c r="H69" s="1009"/>
      <c r="I69" s="1009"/>
      <c r="J69" s="1009"/>
      <c r="K69" s="1009"/>
      <c r="L69" s="1009"/>
      <c r="M69" s="1009"/>
      <c r="N69" s="1009"/>
      <c r="O69" s="1009"/>
      <c r="P69" s="1002"/>
    </row>
    <row r="70" spans="1:16" ht="15">
      <c r="A70" s="1037"/>
      <c r="B70" s="1009"/>
      <c r="C70" s="1009"/>
      <c r="D70" s="1009"/>
      <c r="E70" s="1009"/>
      <c r="F70" s="1009"/>
      <c r="G70" s="1009"/>
      <c r="H70" s="1009"/>
      <c r="I70" s="1009"/>
      <c r="J70" s="1009"/>
      <c r="K70" s="1009"/>
      <c r="L70" s="1009"/>
      <c r="M70" s="1009"/>
      <c r="N70" s="1009"/>
      <c r="O70" s="1009"/>
      <c r="P70" s="1002"/>
    </row>
    <row r="71" spans="1:16" ht="15">
      <c r="A71" s="1037"/>
      <c r="B71" s="1009"/>
      <c r="C71" s="1009"/>
      <c r="D71" s="1009"/>
      <c r="E71" s="1009"/>
      <c r="F71" s="1009"/>
      <c r="G71" s="1009"/>
      <c r="H71" s="1009"/>
      <c r="I71" s="1009"/>
      <c r="J71" s="1009"/>
      <c r="K71" s="1009"/>
      <c r="L71" s="1009"/>
      <c r="M71" s="1009"/>
      <c r="N71" s="1009"/>
      <c r="O71" s="1009"/>
      <c r="P71" s="1002"/>
    </row>
    <row r="72" spans="1:16" ht="15">
      <c r="A72" s="1037"/>
      <c r="B72" s="1009"/>
      <c r="C72" s="1009"/>
      <c r="D72" s="1009"/>
      <c r="E72" s="1009"/>
      <c r="F72" s="1009"/>
      <c r="G72" s="1009"/>
      <c r="H72" s="1009"/>
      <c r="I72" s="1009"/>
      <c r="J72" s="1009"/>
      <c r="K72" s="1009"/>
      <c r="L72" s="1009"/>
      <c r="M72" s="1009"/>
      <c r="N72" s="1009"/>
      <c r="O72" s="1009"/>
      <c r="P72" s="1002"/>
    </row>
    <row r="73" spans="1:16" ht="15">
      <c r="A73" s="1037"/>
      <c r="B73" s="1009"/>
      <c r="C73" s="1009"/>
      <c r="D73" s="1009"/>
      <c r="E73" s="1009"/>
      <c r="F73" s="1009"/>
      <c r="G73" s="1009"/>
      <c r="H73" s="1009"/>
      <c r="I73" s="1009"/>
      <c r="J73" s="1009"/>
      <c r="K73" s="1009"/>
      <c r="L73" s="1009"/>
      <c r="M73" s="1009"/>
      <c r="N73" s="1009"/>
      <c r="O73" s="1009"/>
      <c r="P73" s="1002"/>
    </row>
    <row r="74" spans="1:16" ht="15">
      <c r="A74" s="1037"/>
      <c r="B74" s="1009"/>
      <c r="C74" s="1009"/>
      <c r="D74" s="1009"/>
      <c r="E74" s="1009"/>
      <c r="F74" s="1009"/>
      <c r="G74" s="1009"/>
      <c r="H74" s="1009"/>
      <c r="I74" s="1009"/>
      <c r="J74" s="1009"/>
      <c r="K74" s="1009"/>
      <c r="L74" s="1009"/>
      <c r="M74" s="1009"/>
      <c r="N74" s="1009"/>
      <c r="O74" s="1009"/>
      <c r="P74" s="1002"/>
    </row>
    <row r="75" spans="1:16" ht="15">
      <c r="A75" s="1037"/>
      <c r="B75" s="1009"/>
      <c r="C75" s="1009"/>
      <c r="D75" s="1009"/>
      <c r="E75" s="1009"/>
      <c r="F75" s="1009"/>
      <c r="G75" s="1009"/>
      <c r="H75" s="1009"/>
      <c r="I75" s="1009"/>
      <c r="J75" s="1009"/>
      <c r="K75" s="1009"/>
      <c r="L75" s="1009"/>
      <c r="M75" s="1009"/>
      <c r="N75" s="1009"/>
      <c r="O75" s="1009"/>
      <c r="P75" s="1002"/>
    </row>
    <row r="76" spans="1:16" ht="15">
      <c r="A76" s="1037"/>
      <c r="B76" s="1009"/>
      <c r="C76" s="1009"/>
      <c r="D76" s="1009"/>
      <c r="E76" s="1009"/>
      <c r="F76" s="1009"/>
      <c r="G76" s="1009"/>
      <c r="H76" s="1009"/>
      <c r="I76" s="1009"/>
      <c r="J76" s="1009"/>
      <c r="K76" s="1009"/>
      <c r="L76" s="1009"/>
      <c r="M76" s="1009"/>
      <c r="N76" s="1009"/>
      <c r="O76" s="1009"/>
      <c r="P76" s="1002"/>
    </row>
    <row r="77" spans="1:16" ht="15">
      <c r="A77" s="1037"/>
      <c r="B77" s="1009"/>
      <c r="C77" s="1009"/>
      <c r="D77" s="1009"/>
      <c r="E77" s="1009"/>
      <c r="F77" s="1009"/>
      <c r="G77" s="1009"/>
      <c r="H77" s="1009"/>
      <c r="I77" s="1009"/>
      <c r="J77" s="1009"/>
      <c r="K77" s="1009"/>
      <c r="L77" s="1009"/>
      <c r="M77" s="1009"/>
      <c r="N77" s="1009"/>
      <c r="O77" s="1009"/>
      <c r="P77" s="1002"/>
    </row>
    <row r="78" spans="1:16" ht="15">
      <c r="A78" s="1037"/>
      <c r="B78" s="1009"/>
      <c r="C78" s="1009"/>
      <c r="D78" s="1009"/>
      <c r="E78" s="1009"/>
      <c r="F78" s="1009"/>
      <c r="G78" s="1009"/>
      <c r="H78" s="1009"/>
      <c r="I78" s="1009"/>
      <c r="J78" s="1009"/>
      <c r="K78" s="1009"/>
      <c r="L78" s="1009"/>
      <c r="M78" s="1009"/>
      <c r="N78" s="1009"/>
      <c r="O78" s="1009"/>
    </row>
  </sheetData>
  <mergeCells count="8">
    <mergeCell ref="B53:I54"/>
    <mergeCell ref="B56:F57"/>
    <mergeCell ref="A7:N7"/>
    <mergeCell ref="Q9:Q10"/>
    <mergeCell ref="I19:I20"/>
    <mergeCell ref="A41:H44"/>
    <mergeCell ref="B46:H48"/>
    <mergeCell ref="B50:H51"/>
  </mergeCells>
  <pageMargins left="0.7" right="0.7" top="0.75" bottom="0.75" header="0.3" footer="0.3"/>
  <pageSetup scale="6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49BA-DE0C-424E-A43C-BECDD5C4112F}">
  <dimension ref="A1:Q87"/>
  <sheetViews>
    <sheetView workbookViewId="0">
      <selection activeCell="F35" sqref="F35"/>
    </sheetView>
  </sheetViews>
  <sheetFormatPr defaultRowHeight="12.75"/>
  <cols>
    <col min="4" max="4" width="24" customWidth="1"/>
    <col min="5" max="5" width="25.140625" customWidth="1"/>
    <col min="6" max="6" width="25.28515625" customWidth="1"/>
    <col min="7" max="7" width="4.42578125" customWidth="1"/>
    <col min="8" max="8" width="20.28515625" customWidth="1"/>
    <col min="9" max="9" width="4.5703125" customWidth="1"/>
    <col min="10" max="10" width="19.85546875" customWidth="1"/>
    <col min="12" max="12" width="19.140625" customWidth="1"/>
    <col min="13" max="13" width="17.85546875" customWidth="1"/>
    <col min="14" max="14" width="20" customWidth="1"/>
  </cols>
  <sheetData>
    <row r="1" spans="1:17" ht="15.75">
      <c r="A1" s="998" t="s">
        <v>1086</v>
      </c>
      <c r="B1" s="1040"/>
      <c r="C1" s="1040"/>
      <c r="D1" s="1040"/>
      <c r="E1" s="1040"/>
      <c r="F1" s="1040"/>
      <c r="G1" s="1040"/>
      <c r="H1" s="1040"/>
      <c r="I1" s="1040"/>
      <c r="J1" s="1040"/>
      <c r="K1" s="1040"/>
      <c r="L1" s="1000"/>
      <c r="M1" s="1040"/>
      <c r="N1" s="1001"/>
      <c r="O1" s="1040"/>
      <c r="P1" s="1040"/>
      <c r="Q1" s="1040"/>
    </row>
    <row r="2" spans="1:17" ht="15">
      <c r="A2" s="998" t="s">
        <v>1088</v>
      </c>
      <c r="B2" s="1040"/>
      <c r="C2" s="1040"/>
      <c r="D2" s="1040"/>
      <c r="E2" s="1040"/>
      <c r="F2" s="1040"/>
      <c r="G2" s="1040"/>
      <c r="H2" s="1040"/>
      <c r="I2" s="1040"/>
      <c r="J2" s="1040"/>
      <c r="K2" s="1040"/>
      <c r="L2" s="1003"/>
      <c r="M2" s="1040"/>
      <c r="N2" s="1004"/>
      <c r="O2" s="1040"/>
      <c r="P2" s="1040"/>
      <c r="Q2" s="1040"/>
    </row>
    <row r="3" spans="1:17" ht="15">
      <c r="A3" s="998" t="s">
        <v>1090</v>
      </c>
      <c r="B3" s="1040"/>
      <c r="C3" s="1040"/>
      <c r="D3" s="1040"/>
      <c r="E3" s="1040"/>
      <c r="F3" s="1040"/>
      <c r="G3" s="1040"/>
      <c r="H3" s="1040"/>
      <c r="I3" s="1040"/>
      <c r="J3" s="1040"/>
      <c r="K3" s="1040"/>
      <c r="L3" s="1040"/>
      <c r="M3" s="1040"/>
      <c r="N3" s="1004"/>
      <c r="O3" s="1040"/>
      <c r="P3" s="1040"/>
      <c r="Q3" s="1040"/>
    </row>
    <row r="4" spans="1:17" ht="15">
      <c r="A4" s="998" t="s">
        <v>1135</v>
      </c>
      <c r="B4" s="1040"/>
      <c r="C4" s="1040"/>
      <c r="D4" s="1040"/>
      <c r="E4" s="1040"/>
      <c r="F4" s="1040"/>
      <c r="G4" s="1040"/>
      <c r="H4" s="1040"/>
      <c r="I4" s="1040"/>
      <c r="J4" s="1040"/>
      <c r="K4" s="1040"/>
      <c r="L4" s="1040"/>
      <c r="M4" s="1040"/>
      <c r="N4" s="1001"/>
      <c r="O4" s="1040"/>
      <c r="P4" s="1040"/>
      <c r="Q4" s="1040"/>
    </row>
    <row r="5" spans="1:17" ht="15">
      <c r="A5" s="998" t="s">
        <v>1094</v>
      </c>
      <c r="B5" s="1040"/>
      <c r="C5" s="1040"/>
      <c r="D5" s="1040"/>
      <c r="E5" s="1040"/>
      <c r="F5" s="1040"/>
      <c r="G5" s="1040"/>
      <c r="H5" s="1040"/>
      <c r="I5" s="1040"/>
      <c r="J5" s="1040"/>
      <c r="K5" s="1040"/>
      <c r="L5" s="1040"/>
      <c r="M5" s="1040"/>
      <c r="N5" s="1040"/>
      <c r="O5" s="1040"/>
      <c r="P5" s="1040"/>
      <c r="Q5" s="1040"/>
    </row>
    <row r="6" spans="1:17" ht="15">
      <c r="A6" s="998" t="s">
        <v>968</v>
      </c>
      <c r="B6" s="1040"/>
      <c r="C6" s="1040"/>
      <c r="D6" s="1040"/>
      <c r="E6" s="1040"/>
      <c r="F6" s="1040"/>
      <c r="G6" s="1040"/>
      <c r="H6" s="1040"/>
      <c r="I6" s="1040"/>
      <c r="J6" s="1040"/>
      <c r="K6" s="1040"/>
      <c r="L6" s="1040"/>
      <c r="M6" s="1040"/>
      <c r="N6" s="1040"/>
      <c r="O6" s="1040"/>
      <c r="P6" s="1040"/>
      <c r="Q6" s="1040"/>
    </row>
    <row r="7" spans="1:17" ht="15">
      <c r="A7" s="1260" t="s">
        <v>1136</v>
      </c>
      <c r="B7" s="1260"/>
      <c r="C7" s="1260"/>
      <c r="D7" s="1260"/>
      <c r="E7" s="1260"/>
      <c r="F7" s="1260"/>
      <c r="G7" s="1260"/>
      <c r="H7" s="1260"/>
      <c r="I7" s="1260"/>
      <c r="J7" s="1260"/>
      <c r="K7" s="1260"/>
      <c r="L7" s="1260"/>
      <c r="M7" s="1260"/>
      <c r="N7" s="1260"/>
      <c r="O7" s="1040"/>
      <c r="P7" s="1040"/>
      <c r="Q7" s="1040"/>
    </row>
    <row r="9" spans="1:17" ht="15">
      <c r="A9" s="1005" t="s">
        <v>148</v>
      </c>
      <c r="B9" s="1006" t="s">
        <v>149</v>
      </c>
      <c r="C9" s="1006"/>
      <c r="D9" s="1041" t="s">
        <v>150</v>
      </c>
      <c r="E9" s="1006" t="s">
        <v>151</v>
      </c>
      <c r="F9" s="1006" t="s">
        <v>152</v>
      </c>
      <c r="G9" s="1006"/>
      <c r="H9" s="1006" t="s">
        <v>1096</v>
      </c>
      <c r="I9" s="1006"/>
      <c r="J9" s="1006" t="s">
        <v>154</v>
      </c>
      <c r="K9" s="1006"/>
      <c r="L9" s="1006" t="s">
        <v>1097</v>
      </c>
      <c r="M9" s="1006" t="s">
        <v>156</v>
      </c>
      <c r="N9" s="1006" t="s">
        <v>1098</v>
      </c>
      <c r="O9" s="1040"/>
      <c r="P9" s="1040"/>
      <c r="Q9" s="1261"/>
    </row>
    <row r="10" spans="1:17" ht="15">
      <c r="A10" s="1040"/>
      <c r="B10" s="1040"/>
      <c r="C10" s="1040"/>
      <c r="D10" s="1040"/>
      <c r="E10" s="1040"/>
      <c r="F10" s="1007"/>
      <c r="G10" s="1007"/>
      <c r="H10" s="1007"/>
      <c r="I10" s="1040"/>
      <c r="J10" s="1040"/>
      <c r="K10" s="1040"/>
      <c r="L10" s="1040"/>
      <c r="M10" s="1040"/>
      <c r="N10" s="1040"/>
      <c r="O10" s="1040"/>
      <c r="P10" s="1040"/>
      <c r="Q10" s="1261"/>
    </row>
    <row r="11" spans="1:17" ht="39">
      <c r="A11" s="998" t="s">
        <v>1099</v>
      </c>
      <c r="B11" s="999" t="s">
        <v>1100</v>
      </c>
      <c r="C11" s="1040"/>
      <c r="D11" s="1042" t="s">
        <v>1137</v>
      </c>
      <c r="E11" s="1006" t="s">
        <v>987</v>
      </c>
      <c r="F11" s="1008" t="s">
        <v>1102</v>
      </c>
      <c r="G11" s="1008"/>
      <c r="H11" s="1008" t="s">
        <v>1103</v>
      </c>
      <c r="I11" s="1009"/>
      <c r="J11" s="1008" t="s">
        <v>1104</v>
      </c>
      <c r="K11" s="999"/>
      <c r="L11" s="1008" t="s">
        <v>1105</v>
      </c>
      <c r="M11" s="1008" t="s">
        <v>1106</v>
      </c>
      <c r="N11" s="1008" t="s">
        <v>1107</v>
      </c>
      <c r="O11" s="1040"/>
      <c r="P11" s="1040"/>
      <c r="Q11" s="1040"/>
    </row>
    <row r="12" spans="1:17" ht="15.75">
      <c r="A12" s="1040"/>
      <c r="B12" s="1040"/>
      <c r="C12" s="1040"/>
      <c r="D12" s="1042"/>
      <c r="E12" s="1006"/>
      <c r="F12" s="1008"/>
      <c r="G12" s="1008"/>
      <c r="H12" s="1008"/>
      <c r="I12" s="1009"/>
      <c r="J12" s="1008"/>
      <c r="K12" s="999"/>
      <c r="L12" s="1008"/>
      <c r="M12" s="1040"/>
      <c r="N12" s="1007"/>
      <c r="O12" s="1040"/>
      <c r="P12" s="1040"/>
      <c r="Q12" s="1040"/>
    </row>
    <row r="13" spans="1:17" ht="15.75">
      <c r="A13" s="1010" t="s">
        <v>1108</v>
      </c>
      <c r="B13" s="1040"/>
      <c r="C13" s="1040"/>
      <c r="D13" s="1042"/>
      <c r="E13" s="1006"/>
      <c r="F13" s="1008"/>
      <c r="G13" s="1008"/>
      <c r="H13" s="1008"/>
      <c r="I13" s="1009"/>
      <c r="J13" s="1008"/>
      <c r="K13" s="999"/>
      <c r="L13" s="1008"/>
      <c r="M13" s="1040"/>
      <c r="N13" s="1007"/>
      <c r="O13" s="1040"/>
      <c r="P13" s="1040"/>
      <c r="Q13" s="1040"/>
    </row>
    <row r="14" spans="1:17" ht="15">
      <c r="A14" s="1040"/>
      <c r="B14" s="1040"/>
      <c r="C14" s="1040"/>
      <c r="D14" s="1043"/>
      <c r="E14" s="1002"/>
      <c r="F14" s="1011"/>
      <c r="G14" s="1011"/>
      <c r="H14" s="1011"/>
      <c r="I14" s="1011"/>
      <c r="J14" s="1011"/>
      <c r="K14" s="1011"/>
      <c r="L14" s="1011"/>
      <c r="M14" s="1002"/>
      <c r="N14" s="1002"/>
      <c r="O14" s="1040"/>
      <c r="P14" s="1040"/>
      <c r="Q14" s="1040"/>
    </row>
    <row r="15" spans="1:17" ht="15">
      <c r="A15" s="1012">
        <v>1</v>
      </c>
      <c r="B15" s="1013" t="s">
        <v>1138</v>
      </c>
      <c r="C15" s="1040"/>
      <c r="D15" s="1014">
        <v>-744125741</v>
      </c>
      <c r="E15" s="1002" t="s">
        <v>1139</v>
      </c>
      <c r="F15" s="999"/>
      <c r="G15" s="999"/>
      <c r="H15" s="999"/>
      <c r="I15" s="999"/>
      <c r="J15" s="999"/>
      <c r="K15" s="999"/>
      <c r="L15" s="999"/>
      <c r="M15" s="1040"/>
      <c r="N15" s="1002"/>
      <c r="O15" s="1040"/>
      <c r="P15" s="1040"/>
      <c r="Q15" s="1040"/>
    </row>
    <row r="16" spans="1:17" ht="15.75">
      <c r="A16" s="1012">
        <v>2</v>
      </c>
      <c r="B16" s="1013"/>
      <c r="C16" s="1040"/>
      <c r="D16" s="1044">
        <v>0.43256499999999998</v>
      </c>
      <c r="E16" s="1002" t="s">
        <v>1140</v>
      </c>
      <c r="F16" s="1009"/>
      <c r="G16" s="1009"/>
      <c r="H16" s="1016"/>
      <c r="I16" s="1009"/>
      <c r="J16" s="1009"/>
      <c r="K16" s="1009"/>
      <c r="L16" s="1009"/>
      <c r="M16" s="1002"/>
      <c r="N16" s="1002"/>
      <c r="O16" s="1040"/>
      <c r="P16" s="1040"/>
      <c r="Q16" s="1040"/>
    </row>
    <row r="17" spans="1:16" ht="15.75">
      <c r="A17" s="1012">
        <v>3</v>
      </c>
      <c r="B17" s="1013"/>
      <c r="C17" s="1040"/>
      <c r="D17" s="1045">
        <v>6.5000000000000002E-2</v>
      </c>
      <c r="E17" s="1002" t="s">
        <v>1141</v>
      </c>
      <c r="F17" s="1009"/>
      <c r="G17" s="1009"/>
      <c r="H17" s="1016"/>
      <c r="I17" s="1009"/>
      <c r="J17" s="1009"/>
      <c r="K17" s="1009"/>
      <c r="L17" s="1009"/>
      <c r="M17" s="1002"/>
      <c r="N17" s="1002"/>
      <c r="O17" s="1040"/>
      <c r="P17" s="1040"/>
    </row>
    <row r="18" spans="1:16" ht="15.75">
      <c r="A18" s="1012">
        <v>4</v>
      </c>
      <c r="B18" s="1013"/>
      <c r="C18" s="1040"/>
      <c r="D18" s="1046">
        <v>-20922378.825118225</v>
      </c>
      <c r="E18" s="999" t="s">
        <v>1142</v>
      </c>
      <c r="F18" s="1009"/>
      <c r="G18" s="1009"/>
      <c r="H18" s="1016"/>
      <c r="I18" s="1009"/>
      <c r="J18" s="1009"/>
      <c r="K18" s="1009"/>
      <c r="L18" s="1009"/>
      <c r="M18" s="1002"/>
      <c r="N18" s="1002"/>
      <c r="O18" s="1040"/>
      <c r="P18" s="1040"/>
    </row>
    <row r="19" spans="1:16" ht="15.75">
      <c r="A19" s="1012">
        <v>5</v>
      </c>
      <c r="B19" s="1013"/>
      <c r="C19" s="1040"/>
      <c r="D19" s="1046"/>
      <c r="E19" s="1040"/>
      <c r="F19" s="1009"/>
      <c r="G19" s="1009"/>
      <c r="H19" s="1016"/>
      <c r="I19" s="1009"/>
      <c r="J19" s="1009"/>
      <c r="K19" s="1009"/>
      <c r="L19" s="1009"/>
      <c r="M19" s="1002"/>
      <c r="N19" s="1002"/>
      <c r="O19" s="1040"/>
      <c r="P19" s="1040"/>
    </row>
    <row r="20" spans="1:16" ht="15.75">
      <c r="A20" s="1012">
        <v>6</v>
      </c>
      <c r="B20" s="1013"/>
      <c r="C20" s="1040"/>
      <c r="D20" s="1046">
        <v>-744125741</v>
      </c>
      <c r="E20" s="1002" t="s">
        <v>1139</v>
      </c>
      <c r="F20" s="1009"/>
      <c r="G20" s="1009"/>
      <c r="H20" s="1016"/>
      <c r="I20" s="1009"/>
      <c r="J20" s="1009"/>
      <c r="K20" s="1009"/>
      <c r="L20" s="1009"/>
      <c r="M20" s="1002"/>
      <c r="N20" s="1002"/>
      <c r="O20" s="1040"/>
      <c r="P20" s="1040"/>
    </row>
    <row r="21" spans="1:16" ht="15.75">
      <c r="A21" s="1012">
        <v>7</v>
      </c>
      <c r="B21" s="1013"/>
      <c r="C21" s="1040"/>
      <c r="D21" s="1044">
        <v>0.52269500000000002</v>
      </c>
      <c r="E21" s="1002" t="s">
        <v>1143</v>
      </c>
      <c r="F21" s="1009"/>
      <c r="G21" s="1009"/>
      <c r="H21" s="1016"/>
      <c r="I21" s="1009"/>
      <c r="J21" s="1009"/>
      <c r="K21" s="1009"/>
      <c r="L21" s="1009"/>
      <c r="M21" s="1002"/>
      <c r="N21" s="1002"/>
      <c r="O21" s="1040"/>
      <c r="P21" s="1040"/>
    </row>
    <row r="22" spans="1:16" ht="15.75">
      <c r="A22" s="1012">
        <v>8</v>
      </c>
      <c r="B22" s="1013"/>
      <c r="C22" s="1040"/>
      <c r="D22" s="1045">
        <v>6.5000000000000002E-2</v>
      </c>
      <c r="E22" s="1002" t="s">
        <v>1141</v>
      </c>
      <c r="F22" s="1009"/>
      <c r="G22" s="1009"/>
      <c r="H22" s="1016"/>
      <c r="I22" s="1009"/>
      <c r="J22" s="1009"/>
      <c r="K22" s="1009"/>
      <c r="L22" s="1009"/>
      <c r="M22" s="1002"/>
      <c r="N22" s="1002"/>
      <c r="O22" s="1040"/>
      <c r="P22" s="1040"/>
    </row>
    <row r="23" spans="1:16" ht="15.75">
      <c r="A23" s="1012">
        <v>9</v>
      </c>
      <c r="B23" s="1013"/>
      <c r="C23" s="1040"/>
      <c r="D23" s="1046">
        <v>-25281802.272479676</v>
      </c>
      <c r="E23" s="999" t="s">
        <v>1144</v>
      </c>
      <c r="F23" s="1009"/>
      <c r="G23" s="1009"/>
      <c r="H23" s="1016"/>
      <c r="I23" s="1009"/>
      <c r="J23" s="1009"/>
      <c r="K23" s="1009"/>
      <c r="L23" s="1009"/>
      <c r="M23" s="1002"/>
      <c r="N23" s="1002"/>
      <c r="O23" s="1040"/>
      <c r="P23" s="1040"/>
    </row>
    <row r="24" spans="1:16" ht="15">
      <c r="A24" s="1012">
        <v>10</v>
      </c>
      <c r="B24" s="1013"/>
      <c r="C24" s="1040"/>
      <c r="D24" s="1047"/>
      <c r="E24" s="1040"/>
      <c r="F24" s="1011"/>
      <c r="G24" s="1011"/>
      <c r="H24" s="1017"/>
      <c r="I24" s="1018"/>
      <c r="J24" s="1011"/>
      <c r="K24" s="1011"/>
      <c r="L24" s="1011"/>
      <c r="M24" s="1002"/>
      <c r="N24" s="1002">
        <v>0</v>
      </c>
      <c r="O24" s="1040"/>
      <c r="P24" s="1040"/>
    </row>
    <row r="25" spans="1:16" ht="15">
      <c r="A25" s="1012">
        <v>11</v>
      </c>
      <c r="B25" s="1013"/>
      <c r="C25" s="1040"/>
      <c r="D25" s="1048">
        <v>4359423.4473614506</v>
      </c>
      <c r="E25" s="999" t="s">
        <v>1145</v>
      </c>
      <c r="F25" s="1049">
        <v>4359423.4473614506</v>
      </c>
      <c r="G25" s="1019"/>
      <c r="H25" s="1017">
        <v>-0.17243325457484768</v>
      </c>
      <c r="I25" s="1018"/>
      <c r="J25" s="1011">
        <v>0</v>
      </c>
      <c r="K25" s="1011"/>
      <c r="L25" s="1011">
        <v>4359423.4473614506</v>
      </c>
      <c r="M25" s="1002" t="s">
        <v>1005</v>
      </c>
      <c r="N25" s="1002">
        <v>-20922378.825118225</v>
      </c>
      <c r="O25" s="1040"/>
      <c r="P25" s="1040"/>
    </row>
    <row r="26" spans="1:16" ht="15">
      <c r="A26" s="1012">
        <v>12</v>
      </c>
      <c r="B26" s="1013"/>
      <c r="C26" s="1040"/>
      <c r="D26" s="1047"/>
      <c r="E26" s="999" t="s">
        <v>1146</v>
      </c>
      <c r="F26" s="1011">
        <v>-915478.92394590459</v>
      </c>
      <c r="G26" s="1011"/>
      <c r="H26" s="1017"/>
      <c r="I26" s="1050"/>
      <c r="J26" s="1011">
        <v>0</v>
      </c>
      <c r="K26" s="1011"/>
      <c r="L26" s="1011">
        <v>-915478.92394590459</v>
      </c>
      <c r="M26" s="1002" t="s">
        <v>1005</v>
      </c>
      <c r="N26" s="1002">
        <v>0</v>
      </c>
      <c r="O26" s="1040"/>
      <c r="P26" s="1040"/>
    </row>
    <row r="27" spans="1:16" ht="15">
      <c r="A27" s="1012">
        <v>13</v>
      </c>
      <c r="B27" s="1013"/>
      <c r="C27" s="1040"/>
      <c r="D27" s="1043"/>
      <c r="E27" s="1040"/>
      <c r="F27" s="1011"/>
      <c r="G27" s="1011"/>
      <c r="H27" s="1017"/>
      <c r="I27" s="1024"/>
      <c r="J27" s="1011"/>
      <c r="K27" s="1011"/>
      <c r="L27" s="1011"/>
      <c r="M27" s="1002"/>
      <c r="N27" s="1002"/>
      <c r="O27" s="1040"/>
      <c r="P27" s="1040"/>
    </row>
    <row r="28" spans="1:16" ht="15">
      <c r="A28" s="1012">
        <v>14</v>
      </c>
      <c r="B28" s="1040"/>
      <c r="C28" s="1040"/>
      <c r="D28" s="1040"/>
      <c r="E28" s="1002"/>
      <c r="F28" s="1011"/>
      <c r="G28" s="1011"/>
      <c r="H28" s="1020"/>
      <c r="I28" s="1025"/>
      <c r="J28" s="1011"/>
      <c r="K28" s="1011"/>
      <c r="L28" s="1011"/>
      <c r="M28" s="1002"/>
      <c r="N28" s="1002"/>
      <c r="O28" s="1040"/>
      <c r="P28" s="1040"/>
    </row>
    <row r="29" spans="1:16" ht="15">
      <c r="A29" s="1012">
        <v>15</v>
      </c>
      <c r="B29" s="999" t="s">
        <v>118</v>
      </c>
      <c r="C29" s="1040"/>
      <c r="D29" s="1051">
        <v>-25281802.272479676</v>
      </c>
      <c r="E29" s="1002" t="s">
        <v>1147</v>
      </c>
      <c r="F29" s="1027">
        <v>3443944.5234155459</v>
      </c>
      <c r="G29" s="1028"/>
      <c r="H29" s="1029"/>
      <c r="I29" s="999"/>
      <c r="J29" s="1027">
        <v>0</v>
      </c>
      <c r="K29" s="1011"/>
      <c r="L29" s="1027">
        <v>3443944.5234155459</v>
      </c>
      <c r="M29" s="1002"/>
      <c r="N29" s="1027">
        <v>-20922378.825118225</v>
      </c>
      <c r="O29" s="1040"/>
      <c r="P29" s="1040"/>
    </row>
    <row r="30" spans="1:16" ht="15">
      <c r="A30" s="1012"/>
      <c r="B30" s="1040"/>
      <c r="C30" s="1040"/>
      <c r="D30" s="1043"/>
      <c r="E30" s="1030"/>
      <c r="F30" s="1019"/>
      <c r="G30" s="1019"/>
      <c r="H30" s="1017"/>
      <c r="I30" s="1011"/>
      <c r="J30" s="1011"/>
      <c r="K30" s="1011"/>
      <c r="L30" s="1011"/>
      <c r="M30" s="1002"/>
      <c r="N30" s="1002"/>
      <c r="O30" s="1040"/>
      <c r="P30" s="1040"/>
    </row>
    <row r="31" spans="1:16" ht="15">
      <c r="A31" s="1031" t="s">
        <v>1124</v>
      </c>
      <c r="B31" s="1040"/>
      <c r="C31" s="1040"/>
      <c r="D31" s="1043"/>
      <c r="E31" s="1002"/>
      <c r="F31" s="1019"/>
      <c r="G31" s="1019"/>
      <c r="H31" s="1017"/>
      <c r="I31" s="1019"/>
      <c r="J31" s="1011"/>
      <c r="K31" s="1011"/>
      <c r="L31" s="1011"/>
      <c r="M31" s="1002"/>
      <c r="N31" s="1002"/>
      <c r="O31" s="1040"/>
      <c r="P31" s="1002"/>
    </row>
    <row r="32" spans="1:16" ht="15.75">
      <c r="A32" s="1012"/>
      <c r="B32" s="1040"/>
      <c r="C32" s="1040"/>
      <c r="D32" s="1040"/>
      <c r="E32" s="1040"/>
      <c r="F32" s="1025"/>
      <c r="G32" s="1025"/>
      <c r="H32" s="1017"/>
      <c r="I32" s="999"/>
      <c r="J32" s="1009"/>
      <c r="K32" s="1011"/>
      <c r="L32" s="1011"/>
      <c r="M32" s="1040"/>
      <c r="N32" s="1002"/>
      <c r="O32" s="1040"/>
      <c r="P32" s="1002"/>
    </row>
    <row r="33" spans="1:16" ht="15">
      <c r="A33" s="1012">
        <v>16</v>
      </c>
      <c r="B33" s="1013" t="s">
        <v>1138</v>
      </c>
      <c r="C33" s="1040"/>
      <c r="D33" s="1014">
        <v>-156132408</v>
      </c>
      <c r="E33" s="1002" t="s">
        <v>1139</v>
      </c>
      <c r="F33" s="999"/>
      <c r="G33" s="999"/>
      <c r="H33" s="999"/>
      <c r="I33" s="999"/>
      <c r="J33" s="999"/>
      <c r="K33" s="999"/>
      <c r="L33" s="999"/>
      <c r="M33" s="1040"/>
      <c r="N33" s="1002"/>
      <c r="O33" s="1040"/>
      <c r="P33" s="1002"/>
    </row>
    <row r="34" spans="1:16" ht="15.75">
      <c r="A34" s="1012">
        <v>17</v>
      </c>
      <c r="B34" s="1040"/>
      <c r="C34" s="1040"/>
      <c r="D34" s="1044">
        <v>0.43256499999999998</v>
      </c>
      <c r="E34" s="1002" t="s">
        <v>1140</v>
      </c>
      <c r="F34" s="1009"/>
      <c r="G34" s="1009"/>
      <c r="H34" s="1016"/>
      <c r="I34" s="1009"/>
      <c r="J34" s="1009"/>
      <c r="K34" s="1009"/>
      <c r="L34" s="1009"/>
      <c r="M34" s="1002"/>
      <c r="N34" s="1002"/>
      <c r="O34" s="1040"/>
      <c r="P34" s="1002"/>
    </row>
    <row r="35" spans="1:16" ht="15.75">
      <c r="A35" s="1012">
        <v>18</v>
      </c>
      <c r="B35" s="1040"/>
      <c r="C35" s="1040"/>
      <c r="D35" s="1045">
        <v>6.5000000000000002E-2</v>
      </c>
      <c r="E35" s="1002" t="s">
        <v>1141</v>
      </c>
      <c r="F35" s="1009"/>
      <c r="G35" s="1009"/>
      <c r="H35" s="1016"/>
      <c r="I35" s="1009"/>
      <c r="J35" s="1009"/>
      <c r="K35" s="1009"/>
      <c r="L35" s="1009"/>
      <c r="M35" s="1002"/>
      <c r="N35" s="1002"/>
      <c r="O35" s="1040"/>
      <c r="P35" s="1002"/>
    </row>
    <row r="36" spans="1:16" ht="15.75">
      <c r="A36" s="1012">
        <v>19</v>
      </c>
      <c r="B36" s="1040"/>
      <c r="C36" s="1040"/>
      <c r="D36" s="1046">
        <v>-4389931.9793237997</v>
      </c>
      <c r="E36" s="999" t="s">
        <v>1142</v>
      </c>
      <c r="F36" s="1009"/>
      <c r="G36" s="1009"/>
      <c r="H36" s="1016"/>
      <c r="I36" s="1009"/>
      <c r="J36" s="1009"/>
      <c r="K36" s="1009"/>
      <c r="L36" s="1009"/>
      <c r="M36" s="1002"/>
      <c r="N36" s="1002"/>
      <c r="O36" s="1040"/>
      <c r="P36" s="1002"/>
    </row>
    <row r="37" spans="1:16" ht="15.75">
      <c r="A37" s="1012">
        <v>20</v>
      </c>
      <c r="B37" s="1040"/>
      <c r="C37" s="1040"/>
      <c r="D37" s="1046"/>
      <c r="E37" s="1040"/>
      <c r="F37" s="1009"/>
      <c r="G37" s="1009"/>
      <c r="H37" s="1016"/>
      <c r="I37" s="1009"/>
      <c r="J37" s="1009"/>
      <c r="K37" s="1009"/>
      <c r="L37" s="1009"/>
      <c r="M37" s="1002"/>
      <c r="N37" s="1002"/>
      <c r="O37" s="1040"/>
      <c r="P37" s="1002"/>
    </row>
    <row r="38" spans="1:16" ht="15.75">
      <c r="A38" s="1012">
        <v>21</v>
      </c>
      <c r="B38" s="1040"/>
      <c r="C38" s="1040"/>
      <c r="D38" s="1046">
        <v>-156132408</v>
      </c>
      <c r="E38" s="1002" t="s">
        <v>1139</v>
      </c>
      <c r="F38" s="1009"/>
      <c r="G38" s="1009"/>
      <c r="H38" s="1016"/>
      <c r="I38" s="1009"/>
      <c r="J38" s="1009"/>
      <c r="K38" s="1009"/>
      <c r="L38" s="1009"/>
      <c r="M38" s="1002"/>
      <c r="N38" s="1002"/>
      <c r="O38" s="1040"/>
      <c r="P38" s="1002"/>
    </row>
    <row r="39" spans="1:16" ht="15.75">
      <c r="A39" s="1012">
        <v>22</v>
      </c>
      <c r="B39" s="1040"/>
      <c r="C39" s="1040"/>
      <c r="D39" s="1044">
        <v>0.52269500000000002</v>
      </c>
      <c r="E39" s="1002" t="s">
        <v>1143</v>
      </c>
      <c r="F39" s="1009"/>
      <c r="G39" s="1009"/>
      <c r="H39" s="1016"/>
      <c r="I39" s="1009"/>
      <c r="J39" s="1009"/>
      <c r="K39" s="1009"/>
      <c r="L39" s="1009"/>
      <c r="M39" s="1002"/>
      <c r="N39" s="1002"/>
      <c r="O39" s="1040"/>
      <c r="P39" s="1002"/>
    </row>
    <row r="40" spans="1:16" ht="15.75">
      <c r="A40" s="1012">
        <v>23</v>
      </c>
      <c r="B40" s="1013"/>
      <c r="C40" s="1040"/>
      <c r="D40" s="1045">
        <v>6.5000000000000002E-2</v>
      </c>
      <c r="E40" s="1002" t="s">
        <v>1141</v>
      </c>
      <c r="F40" s="1009"/>
      <c r="G40" s="1009"/>
      <c r="H40" s="1016"/>
      <c r="I40" s="1009"/>
      <c r="J40" s="1009"/>
      <c r="K40" s="1009"/>
      <c r="L40" s="1009"/>
      <c r="M40" s="1002"/>
      <c r="N40" s="1002"/>
      <c r="O40" s="1040"/>
      <c r="P40" s="1002"/>
    </row>
    <row r="41" spans="1:16" ht="15.75">
      <c r="A41" s="1012">
        <v>24</v>
      </c>
      <c r="B41" s="1013"/>
      <c r="C41" s="1040"/>
      <c r="D41" s="1046">
        <v>-5304625.8849713998</v>
      </c>
      <c r="E41" s="999" t="s">
        <v>1144</v>
      </c>
      <c r="F41" s="1009"/>
      <c r="G41" s="1009"/>
      <c r="H41" s="1016"/>
      <c r="I41" s="1009"/>
      <c r="J41" s="1009"/>
      <c r="K41" s="1009"/>
      <c r="L41" s="1009"/>
      <c r="M41" s="1002"/>
      <c r="N41" s="1002"/>
      <c r="O41" s="999"/>
      <c r="P41" s="1002"/>
    </row>
    <row r="42" spans="1:16" ht="15">
      <c r="A42" s="1012">
        <v>25</v>
      </c>
      <c r="B42" s="1013"/>
      <c r="C42" s="1040"/>
      <c r="D42" s="1047"/>
      <c r="E42" s="1040"/>
      <c r="F42" s="1011"/>
      <c r="G42" s="1011"/>
      <c r="H42" s="1017"/>
      <c r="I42" s="1018"/>
      <c r="J42" s="1011"/>
      <c r="K42" s="1011"/>
      <c r="L42" s="1011"/>
      <c r="M42" s="1002"/>
      <c r="N42" s="1002">
        <v>0</v>
      </c>
      <c r="O42" s="999"/>
      <c r="P42" s="1032"/>
    </row>
    <row r="43" spans="1:16" ht="15">
      <c r="A43" s="1012">
        <v>26</v>
      </c>
      <c r="B43" s="1013"/>
      <c r="C43" s="1040"/>
      <c r="D43" s="1048">
        <v>914693.90564760007</v>
      </c>
      <c r="E43" s="999" t="s">
        <v>1148</v>
      </c>
      <c r="F43" s="1049">
        <v>914693.90564760007</v>
      </c>
      <c r="G43" s="1019"/>
      <c r="H43" s="1017">
        <v>-0.17243325457484768</v>
      </c>
      <c r="I43" s="1018"/>
      <c r="J43" s="1011">
        <v>0</v>
      </c>
      <c r="K43" s="1011"/>
      <c r="L43" s="1011">
        <v>914693.90564760007</v>
      </c>
      <c r="M43" s="1002" t="s">
        <v>1005</v>
      </c>
      <c r="N43" s="1002">
        <v>-4389931.9793237997</v>
      </c>
      <c r="O43" s="999"/>
      <c r="P43" s="1032"/>
    </row>
    <row r="44" spans="1:16" ht="15">
      <c r="A44" s="1012">
        <v>27</v>
      </c>
      <c r="B44" s="1013"/>
      <c r="C44" s="1040"/>
      <c r="D44" s="1047"/>
      <c r="E44" s="999" t="s">
        <v>1146</v>
      </c>
      <c r="F44" s="1011">
        <v>-192085.720185996</v>
      </c>
      <c r="G44" s="1011"/>
      <c r="H44" s="1017"/>
      <c r="I44" s="1050"/>
      <c r="J44" s="1011">
        <v>0</v>
      </c>
      <c r="K44" s="1011"/>
      <c r="L44" s="1011">
        <v>-192085.720185996</v>
      </c>
      <c r="M44" s="1002" t="s">
        <v>1005</v>
      </c>
      <c r="N44" s="1002">
        <v>0</v>
      </c>
      <c r="O44" s="999"/>
      <c r="P44" s="1002"/>
    </row>
    <row r="45" spans="1:16" ht="15">
      <c r="A45" s="1012">
        <v>28</v>
      </c>
      <c r="B45" s="1013"/>
      <c r="C45" s="1040"/>
      <c r="D45" s="1052"/>
      <c r="E45" s="1013"/>
      <c r="F45" s="1011"/>
      <c r="G45" s="1011"/>
      <c r="H45" s="1017"/>
      <c r="I45" s="1019"/>
      <c r="J45" s="1011"/>
      <c r="K45" s="1011"/>
      <c r="L45" s="1011"/>
      <c r="M45" s="1040"/>
      <c r="N45" s="1002"/>
      <c r="O45" s="999"/>
      <c r="P45" s="1002"/>
    </row>
    <row r="46" spans="1:16" ht="15">
      <c r="A46" s="1012">
        <v>29</v>
      </c>
      <c r="B46" s="1040"/>
      <c r="C46" s="1040"/>
      <c r="D46" s="1052"/>
      <c r="E46" s="1002"/>
      <c r="F46" s="1019"/>
      <c r="G46" s="1019"/>
      <c r="H46" s="1017"/>
      <c r="I46" s="1019"/>
      <c r="J46" s="1011"/>
      <c r="K46" s="1011"/>
      <c r="L46" s="1011"/>
      <c r="M46" s="1040"/>
      <c r="N46" s="1002"/>
      <c r="O46" s="999"/>
      <c r="P46" s="1002"/>
    </row>
    <row r="47" spans="1:16" ht="15">
      <c r="A47" s="1012">
        <v>30</v>
      </c>
      <c r="B47" s="999" t="s">
        <v>118</v>
      </c>
      <c r="C47" s="1040"/>
      <c r="D47" s="1051">
        <v>-5304625.8849713998</v>
      </c>
      <c r="E47" s="1002" t="s">
        <v>1149</v>
      </c>
      <c r="F47" s="1027">
        <v>722608.18546160404</v>
      </c>
      <c r="G47" s="1028"/>
      <c r="H47" s="1036"/>
      <c r="I47" s="999"/>
      <c r="J47" s="1027">
        <v>0</v>
      </c>
      <c r="K47" s="1011"/>
      <c r="L47" s="1027">
        <v>722608.18546160404</v>
      </c>
      <c r="M47" s="1040"/>
      <c r="N47" s="1027">
        <v>-4389931.9793237997</v>
      </c>
      <c r="O47" s="999"/>
      <c r="P47" s="1002"/>
    </row>
    <row r="48" spans="1:16" ht="15">
      <c r="A48" s="1012"/>
      <c r="B48" s="1040"/>
      <c r="C48" s="1040"/>
      <c r="D48" s="1052"/>
      <c r="E48" s="1002"/>
      <c r="F48" s="1028"/>
      <c r="G48" s="1028"/>
      <c r="H48" s="1036"/>
      <c r="I48" s="999"/>
      <c r="J48" s="1028"/>
      <c r="K48" s="1011"/>
      <c r="L48" s="1028"/>
      <c r="M48" s="1040"/>
      <c r="N48" s="1002"/>
      <c r="O48" s="999"/>
      <c r="P48" s="1002"/>
    </row>
    <row r="49" spans="1:16" ht="15">
      <c r="A49" s="1012"/>
      <c r="B49" s="1040"/>
      <c r="C49" s="1040"/>
      <c r="D49" s="1052"/>
      <c r="E49" s="1002"/>
      <c r="F49" s="1028"/>
      <c r="G49" s="1028"/>
      <c r="H49" s="1036"/>
      <c r="I49" s="999"/>
      <c r="J49" s="1028"/>
      <c r="K49" s="1011"/>
      <c r="L49" s="1028"/>
      <c r="M49" s="1040"/>
      <c r="N49" s="1002"/>
      <c r="O49" s="999"/>
      <c r="P49" s="1002"/>
    </row>
    <row r="50" spans="1:16" ht="15">
      <c r="A50" s="1258" t="s">
        <v>1126</v>
      </c>
      <c r="B50" s="1258"/>
      <c r="C50" s="1258"/>
      <c r="D50" s="1258"/>
      <c r="E50" s="1258"/>
      <c r="F50" s="1258"/>
      <c r="G50" s="1258"/>
      <c r="H50" s="1258"/>
      <c r="I50" s="999"/>
      <c r="J50" s="999"/>
      <c r="K50" s="999"/>
      <c r="L50" s="999"/>
      <c r="M50" s="1040"/>
      <c r="N50" s="1002"/>
      <c r="O50" s="999"/>
      <c r="P50" s="1002"/>
    </row>
    <row r="51" spans="1:16" ht="15">
      <c r="A51" s="1258"/>
      <c r="B51" s="1258"/>
      <c r="C51" s="1258"/>
      <c r="D51" s="1258"/>
      <c r="E51" s="1258"/>
      <c r="F51" s="1258"/>
      <c r="G51" s="1258"/>
      <c r="H51" s="1258"/>
      <c r="I51" s="999"/>
      <c r="J51" s="999"/>
      <c r="K51" s="999"/>
      <c r="L51" s="999"/>
      <c r="M51" s="1040"/>
      <c r="N51" s="1002"/>
      <c r="O51" s="999"/>
      <c r="P51" s="1002"/>
    </row>
    <row r="52" spans="1:16" ht="15">
      <c r="A52" s="1258"/>
      <c r="B52" s="1258"/>
      <c r="C52" s="1258"/>
      <c r="D52" s="1258"/>
      <c r="E52" s="1258"/>
      <c r="F52" s="1258"/>
      <c r="G52" s="1258"/>
      <c r="H52" s="1258"/>
      <c r="I52" s="999"/>
      <c r="J52" s="999"/>
      <c r="K52" s="999"/>
      <c r="L52" s="999"/>
      <c r="M52" s="1040"/>
      <c r="N52" s="1002"/>
      <c r="O52" s="999"/>
      <c r="P52" s="1002"/>
    </row>
    <row r="53" spans="1:16" ht="15">
      <c r="A53" s="1258"/>
      <c r="B53" s="1258"/>
      <c r="C53" s="1258"/>
      <c r="D53" s="1258"/>
      <c r="E53" s="1258"/>
      <c r="F53" s="1258"/>
      <c r="G53" s="1258"/>
      <c r="H53" s="1258"/>
      <c r="I53" s="999"/>
      <c r="J53" s="999"/>
      <c r="K53" s="999"/>
      <c r="L53" s="999"/>
      <c r="M53" s="1040"/>
      <c r="N53" s="1002"/>
      <c r="O53" s="999"/>
      <c r="P53" s="1002"/>
    </row>
    <row r="54" spans="1:16" ht="15">
      <c r="A54" s="1012"/>
      <c r="B54" s="1040"/>
      <c r="C54" s="1040"/>
      <c r="D54" s="1040"/>
      <c r="E54" s="1040"/>
      <c r="F54" s="999"/>
      <c r="G54" s="999"/>
      <c r="H54" s="999"/>
      <c r="I54" s="999"/>
      <c r="J54" s="999"/>
      <c r="K54" s="999"/>
      <c r="L54" s="999"/>
      <c r="M54" s="1040"/>
      <c r="N54" s="1002"/>
      <c r="O54" s="999"/>
      <c r="P54" s="1002"/>
    </row>
    <row r="55" spans="1:16" ht="15">
      <c r="A55" s="998" t="s">
        <v>1127</v>
      </c>
      <c r="B55" s="1258" t="s">
        <v>1128</v>
      </c>
      <c r="C55" s="1258"/>
      <c r="D55" s="1258"/>
      <c r="E55" s="1258"/>
      <c r="F55" s="1258"/>
      <c r="G55" s="1258"/>
      <c r="H55" s="1258"/>
      <c r="I55" s="999"/>
      <c r="J55" s="999"/>
      <c r="K55" s="999"/>
      <c r="L55" s="999"/>
      <c r="M55" s="1040"/>
      <c r="N55" s="1002"/>
      <c r="O55" s="999"/>
      <c r="P55" s="1002"/>
    </row>
    <row r="56" spans="1:16" ht="15">
      <c r="A56" s="1040"/>
      <c r="B56" s="1258"/>
      <c r="C56" s="1258"/>
      <c r="D56" s="1258"/>
      <c r="E56" s="1258"/>
      <c r="F56" s="1258"/>
      <c r="G56" s="1258"/>
      <c r="H56" s="1258"/>
      <c r="I56" s="999"/>
      <c r="J56" s="999"/>
      <c r="K56" s="999"/>
      <c r="L56" s="999"/>
      <c r="M56" s="1040"/>
      <c r="N56" s="1002"/>
      <c r="O56" s="999"/>
      <c r="P56" s="1002"/>
    </row>
    <row r="57" spans="1:16" ht="15">
      <c r="A57" s="1040"/>
      <c r="B57" s="1258"/>
      <c r="C57" s="1258"/>
      <c r="D57" s="1258"/>
      <c r="E57" s="1258"/>
      <c r="F57" s="1258"/>
      <c r="G57" s="1258"/>
      <c r="H57" s="1258"/>
      <c r="I57" s="999"/>
      <c r="J57" s="999"/>
      <c r="K57" s="999"/>
      <c r="L57" s="999"/>
      <c r="M57" s="1040"/>
      <c r="N57" s="1002"/>
      <c r="O57" s="999"/>
      <c r="P57" s="1002"/>
    </row>
    <row r="58" spans="1:16" ht="15.75">
      <c r="A58" s="999"/>
      <c r="B58" s="1040"/>
      <c r="C58" s="1040"/>
      <c r="D58" s="1040"/>
      <c r="E58" s="1040"/>
      <c r="F58" s="1040"/>
      <c r="G58" s="1040"/>
      <c r="H58" s="1040"/>
      <c r="I58" s="1009"/>
      <c r="J58" s="1002"/>
      <c r="K58" s="1002"/>
      <c r="L58" s="1002"/>
      <c r="M58" s="1002"/>
      <c r="N58" s="1002"/>
      <c r="O58" s="1040"/>
      <c r="P58" s="1040"/>
    </row>
    <row r="59" spans="1:16" ht="15">
      <c r="A59" s="998" t="s">
        <v>1129</v>
      </c>
      <c r="B59" s="1258" t="s">
        <v>1150</v>
      </c>
      <c r="C59" s="1258"/>
      <c r="D59" s="1258"/>
      <c r="E59" s="1258"/>
      <c r="F59" s="1258"/>
      <c r="G59" s="1258"/>
      <c r="H59" s="1258"/>
      <c r="I59" s="1040"/>
      <c r="J59" s="1002"/>
      <c r="K59" s="1002"/>
      <c r="L59" s="1002"/>
      <c r="M59" s="1002"/>
      <c r="N59" s="1002"/>
      <c r="O59" s="1040"/>
      <c r="P59" s="1040"/>
    </row>
    <row r="60" spans="1:16" ht="15">
      <c r="A60" s="1040"/>
      <c r="B60" s="1258"/>
      <c r="C60" s="1258"/>
      <c r="D60" s="1258"/>
      <c r="E60" s="1258"/>
      <c r="F60" s="1258"/>
      <c r="G60" s="1258"/>
      <c r="H60" s="1258"/>
      <c r="I60" s="1040"/>
      <c r="J60" s="1002"/>
      <c r="K60" s="1002"/>
      <c r="L60" s="1002"/>
      <c r="M60" s="1002"/>
      <c r="N60" s="1002"/>
      <c r="O60" s="1040"/>
      <c r="P60" s="1040"/>
    </row>
    <row r="61" spans="1:16" ht="15">
      <c r="A61" s="999"/>
      <c r="B61" s="1040"/>
      <c r="C61" s="1040"/>
      <c r="D61" s="1040"/>
      <c r="E61" s="1040"/>
      <c r="F61" s="1040"/>
      <c r="G61" s="1040"/>
      <c r="H61" s="1040"/>
      <c r="I61" s="1040"/>
      <c r="J61" s="1002"/>
      <c r="K61" s="1002"/>
      <c r="L61" s="1002"/>
      <c r="M61" s="1002"/>
      <c r="N61" s="1002"/>
      <c r="O61" s="1040"/>
      <c r="P61" s="1040"/>
    </row>
    <row r="62" spans="1:16" ht="15">
      <c r="A62" s="998" t="s">
        <v>1131</v>
      </c>
      <c r="B62" s="1263" t="s">
        <v>1151</v>
      </c>
      <c r="C62" s="1263"/>
      <c r="D62" s="1263"/>
      <c r="E62" s="1263"/>
      <c r="F62" s="1263"/>
      <c r="G62" s="1263"/>
      <c r="H62" s="1263"/>
      <c r="I62" s="1263"/>
      <c r="J62" s="1002"/>
      <c r="K62" s="1002"/>
      <c r="L62" s="1002"/>
      <c r="M62" s="1002"/>
      <c r="N62" s="1002"/>
      <c r="O62" s="1040"/>
      <c r="P62" s="1040"/>
    </row>
    <row r="63" spans="1:16" ht="15.75">
      <c r="A63" s="1037"/>
      <c r="B63" s="1263"/>
      <c r="C63" s="1263"/>
      <c r="D63" s="1263"/>
      <c r="E63" s="1263"/>
      <c r="F63" s="1263"/>
      <c r="G63" s="1263"/>
      <c r="H63" s="1263"/>
      <c r="I63" s="1263"/>
      <c r="J63" s="1002"/>
      <c r="K63" s="1002"/>
      <c r="L63" s="1002"/>
      <c r="M63" s="1002"/>
      <c r="N63" s="1002"/>
      <c r="O63" s="1040"/>
      <c r="P63" s="1040"/>
    </row>
    <row r="64" spans="1:16" ht="15">
      <c r="A64" s="999"/>
      <c r="B64" s="1040"/>
      <c r="C64" s="1040"/>
      <c r="D64" s="1040"/>
      <c r="E64" s="1040"/>
      <c r="F64" s="1040"/>
      <c r="G64" s="1040"/>
      <c r="H64" s="1040"/>
      <c r="I64" s="1040"/>
      <c r="J64" s="1002"/>
      <c r="K64" s="1002"/>
      <c r="L64" s="1002"/>
      <c r="M64" s="1002"/>
      <c r="N64" s="1002"/>
      <c r="O64" s="1040"/>
      <c r="P64" s="1040"/>
    </row>
    <row r="65" spans="1:16" ht="15">
      <c r="A65" s="999" t="s">
        <v>1133</v>
      </c>
      <c r="B65" s="1259" t="s">
        <v>1152</v>
      </c>
      <c r="C65" s="1259"/>
      <c r="D65" s="1259"/>
      <c r="E65" s="1259"/>
      <c r="F65" s="1259"/>
      <c r="G65" s="1040"/>
      <c r="H65" s="1040"/>
      <c r="I65" s="1040"/>
      <c r="J65" s="1002"/>
      <c r="K65" s="1002"/>
      <c r="L65" s="1002"/>
      <c r="M65" s="1002"/>
      <c r="N65" s="1002"/>
      <c r="O65" s="1040"/>
      <c r="P65" s="1040"/>
    </row>
    <row r="66" spans="1:16" ht="15">
      <c r="A66" s="1040"/>
      <c r="B66" s="1259"/>
      <c r="C66" s="1259"/>
      <c r="D66" s="1259"/>
      <c r="E66" s="1259"/>
      <c r="F66" s="1259"/>
      <c r="G66" s="1040"/>
      <c r="H66" s="1040"/>
      <c r="I66" s="1040"/>
      <c r="J66" s="1002"/>
      <c r="K66" s="1002"/>
      <c r="L66" s="1002"/>
      <c r="M66" s="1002"/>
      <c r="N66" s="1002"/>
      <c r="O66" s="1040"/>
      <c r="P66" s="1040"/>
    </row>
    <row r="67" spans="1:16" ht="15">
      <c r="A67" s="999"/>
      <c r="B67" s="1040"/>
      <c r="C67" s="1040"/>
      <c r="D67" s="1040"/>
      <c r="E67" s="1040"/>
      <c r="F67" s="1040"/>
      <c r="G67" s="1040"/>
      <c r="H67" s="1040"/>
      <c r="I67" s="1040"/>
      <c r="J67" s="1002"/>
      <c r="K67" s="1002"/>
      <c r="L67" s="1002"/>
      <c r="M67" s="1002"/>
      <c r="N67" s="1002"/>
      <c r="O67" s="1040"/>
      <c r="P67" s="1040"/>
    </row>
    <row r="68" spans="1:16" ht="15">
      <c r="A68" s="999"/>
      <c r="B68" s="1040"/>
      <c r="C68" s="1040"/>
      <c r="D68" s="1040"/>
      <c r="E68" s="1040"/>
      <c r="F68" s="1040"/>
      <c r="G68" s="1040"/>
      <c r="H68" s="1040"/>
      <c r="I68" s="1040"/>
      <c r="J68" s="1002"/>
      <c r="K68" s="1002"/>
      <c r="L68" s="1002"/>
      <c r="M68" s="1002"/>
      <c r="N68" s="1002"/>
      <c r="O68" s="1040"/>
      <c r="P68" s="1040"/>
    </row>
    <row r="69" spans="1:16" ht="15">
      <c r="A69" s="1040"/>
      <c r="B69" s="1040"/>
      <c r="C69" s="1040"/>
      <c r="D69" s="1040"/>
      <c r="E69" s="1038"/>
      <c r="F69" s="1040"/>
      <c r="G69" s="1040"/>
      <c r="H69" s="1040"/>
      <c r="I69" s="1002"/>
      <c r="J69" s="1002"/>
      <c r="K69" s="1002"/>
      <c r="L69" s="1002"/>
      <c r="M69" s="1040"/>
      <c r="N69" s="1040"/>
      <c r="O69" s="1040"/>
      <c r="P69" s="1040"/>
    </row>
    <row r="70" spans="1:16" ht="15">
      <c r="A70" s="1040"/>
      <c r="B70" s="1040"/>
      <c r="C70" s="1040"/>
      <c r="D70" s="1040"/>
      <c r="E70" s="1040"/>
      <c r="F70" s="1040"/>
      <c r="G70" s="1039"/>
      <c r="H70" s="1039"/>
      <c r="I70" s="1002"/>
      <c r="J70" s="1002"/>
      <c r="K70" s="1002"/>
      <c r="L70" s="1002"/>
      <c r="M70" s="1040"/>
      <c r="N70" s="1040"/>
      <c r="O70" s="1040"/>
      <c r="P70" s="1040"/>
    </row>
    <row r="71" spans="1:16" ht="15">
      <c r="A71" s="1040"/>
      <c r="B71" s="1040"/>
      <c r="C71" s="1040"/>
      <c r="D71" s="1040"/>
      <c r="E71" s="1040"/>
      <c r="F71" s="1040"/>
      <c r="G71" s="1039"/>
      <c r="H71" s="1039"/>
      <c r="I71" s="1002"/>
      <c r="J71" s="1040"/>
      <c r="K71" s="1040"/>
      <c r="L71" s="1040"/>
      <c r="M71" s="1040"/>
      <c r="N71" s="1040"/>
      <c r="O71" s="1040"/>
      <c r="P71" s="1040"/>
    </row>
    <row r="72" spans="1:16" ht="15">
      <c r="A72" s="1040"/>
      <c r="B72" s="1040"/>
      <c r="C72" s="1040"/>
      <c r="D72" s="1040"/>
      <c r="E72" s="1040"/>
      <c r="F72" s="1040"/>
      <c r="G72" s="1040"/>
      <c r="H72" s="1040"/>
      <c r="I72" s="1040"/>
      <c r="J72" s="1040"/>
      <c r="K72" s="1040"/>
      <c r="L72" s="1040"/>
      <c r="M72" s="1040"/>
      <c r="N72" s="1040"/>
      <c r="O72" s="1040"/>
      <c r="P72" s="1040"/>
    </row>
    <row r="75" spans="1:16" ht="15.75">
      <c r="A75" s="1037"/>
      <c r="B75" s="1009"/>
      <c r="C75" s="1009"/>
      <c r="D75" s="1053"/>
      <c r="E75" s="1009"/>
      <c r="F75" s="1009"/>
      <c r="G75" s="1009"/>
      <c r="H75" s="1009"/>
      <c r="I75" s="1009"/>
      <c r="J75" s="1009"/>
      <c r="K75" s="1009"/>
      <c r="L75" s="1009"/>
      <c r="M75" s="1009"/>
      <c r="N75" s="1009"/>
      <c r="O75" s="1009"/>
      <c r="P75" s="1040"/>
    </row>
    <row r="76" spans="1:16" ht="15.75">
      <c r="A76" s="1037"/>
      <c r="B76" s="1009"/>
      <c r="C76" s="1009"/>
      <c r="D76" s="1053"/>
      <c r="E76" s="1009"/>
      <c r="F76" s="1009"/>
      <c r="G76" s="1009"/>
      <c r="H76" s="1009"/>
      <c r="I76" s="1009"/>
      <c r="J76" s="1009"/>
      <c r="K76" s="1009"/>
      <c r="L76" s="1009"/>
      <c r="M76" s="1009"/>
      <c r="N76" s="1009"/>
      <c r="O76" s="1009"/>
      <c r="P76" s="1040"/>
    </row>
    <row r="77" spans="1:16" ht="15.75">
      <c r="A77" s="1037"/>
      <c r="B77" s="1009"/>
      <c r="C77" s="1009"/>
      <c r="D77" s="1053"/>
      <c r="E77" s="1009"/>
      <c r="F77" s="1009"/>
      <c r="G77" s="1009"/>
      <c r="H77" s="1009"/>
      <c r="I77" s="1009"/>
      <c r="J77" s="1009"/>
      <c r="K77" s="1009"/>
      <c r="L77" s="1009"/>
      <c r="M77" s="1009"/>
      <c r="N77" s="1009"/>
      <c r="O77" s="1009"/>
      <c r="P77" s="1040"/>
    </row>
    <row r="78" spans="1:16" ht="15">
      <c r="A78" s="1037"/>
      <c r="B78" s="1009"/>
      <c r="C78" s="1009"/>
      <c r="D78" s="1053"/>
      <c r="E78" s="1009"/>
      <c r="F78" s="1009"/>
      <c r="G78" s="1009"/>
      <c r="H78" s="1009"/>
      <c r="I78" s="1009"/>
      <c r="J78" s="1009"/>
      <c r="K78" s="1009"/>
      <c r="L78" s="1009"/>
      <c r="M78" s="1009"/>
      <c r="N78" s="1009"/>
      <c r="O78" s="1009"/>
      <c r="P78" s="1002"/>
    </row>
    <row r="79" spans="1:16" ht="15">
      <c r="A79" s="1037"/>
      <c r="B79" s="1009"/>
      <c r="C79" s="1009"/>
      <c r="D79" s="1053"/>
      <c r="E79" s="1009"/>
      <c r="F79" s="1009"/>
      <c r="G79" s="1009"/>
      <c r="H79" s="1009"/>
      <c r="I79" s="1009"/>
      <c r="J79" s="1009"/>
      <c r="K79" s="1009"/>
      <c r="L79" s="1009"/>
      <c r="M79" s="1009"/>
      <c r="N79" s="1009"/>
      <c r="O79" s="1009"/>
      <c r="P79" s="1002"/>
    </row>
    <row r="80" spans="1:16" ht="15">
      <c r="A80" s="1037"/>
      <c r="B80" s="1009"/>
      <c r="C80" s="1009"/>
      <c r="D80" s="1053"/>
      <c r="E80" s="1009"/>
      <c r="F80" s="1009"/>
      <c r="G80" s="1009"/>
      <c r="H80" s="1009"/>
      <c r="I80" s="1009"/>
      <c r="J80" s="1009"/>
      <c r="K80" s="1009"/>
      <c r="L80" s="1009"/>
      <c r="M80" s="1009"/>
      <c r="N80" s="1009"/>
      <c r="O80" s="1009"/>
      <c r="P80" s="1002"/>
    </row>
    <row r="81" spans="1:16" ht="15">
      <c r="A81" s="1037"/>
      <c r="B81" s="1009"/>
      <c r="C81" s="1009"/>
      <c r="D81" s="1053"/>
      <c r="E81" s="1009"/>
      <c r="F81" s="1009"/>
      <c r="G81" s="1009"/>
      <c r="H81" s="1009"/>
      <c r="I81" s="1009"/>
      <c r="J81" s="1009"/>
      <c r="K81" s="1009"/>
      <c r="L81" s="1009"/>
      <c r="M81" s="1009"/>
      <c r="N81" s="1009"/>
      <c r="O81" s="1009"/>
      <c r="P81" s="1002"/>
    </row>
    <row r="82" spans="1:16" ht="15">
      <c r="A82" s="1037"/>
      <c r="B82" s="1009"/>
      <c r="C82" s="1009"/>
      <c r="D82" s="1053"/>
      <c r="E82" s="1009"/>
      <c r="F82" s="1009"/>
      <c r="G82" s="1009"/>
      <c r="H82" s="1009"/>
      <c r="I82" s="1009"/>
      <c r="J82" s="1009"/>
      <c r="K82" s="1009"/>
      <c r="L82" s="1009"/>
      <c r="M82" s="1009"/>
      <c r="N82" s="1009"/>
      <c r="O82" s="1009"/>
      <c r="P82" s="1002"/>
    </row>
    <row r="83" spans="1:16" ht="15">
      <c r="A83" s="1037"/>
      <c r="B83" s="1009"/>
      <c r="C83" s="1009"/>
      <c r="D83" s="1053"/>
      <c r="E83" s="1009"/>
      <c r="F83" s="1009"/>
      <c r="G83" s="1009"/>
      <c r="H83" s="1009"/>
      <c r="I83" s="1009"/>
      <c r="J83" s="1009"/>
      <c r="K83" s="1009"/>
      <c r="L83" s="1009"/>
      <c r="M83" s="1009"/>
      <c r="N83" s="1009"/>
      <c r="O83" s="1009"/>
      <c r="P83" s="1002"/>
    </row>
    <row r="84" spans="1:16" ht="15">
      <c r="A84" s="1037"/>
      <c r="B84" s="1009"/>
      <c r="C84" s="1009"/>
      <c r="D84" s="1053"/>
      <c r="E84" s="1009"/>
      <c r="F84" s="1009"/>
      <c r="G84" s="1009"/>
      <c r="H84" s="1009"/>
      <c r="I84" s="1009"/>
      <c r="J84" s="1009"/>
      <c r="K84" s="1009"/>
      <c r="L84" s="1009"/>
      <c r="M84" s="1009"/>
      <c r="N84" s="1009"/>
      <c r="O84" s="1009"/>
      <c r="P84" s="1002"/>
    </row>
    <row r="85" spans="1:16" ht="15">
      <c r="A85" s="1037"/>
      <c r="B85" s="1009"/>
      <c r="C85" s="1009"/>
      <c r="D85" s="1053"/>
      <c r="E85" s="1009"/>
      <c r="F85" s="1009"/>
      <c r="G85" s="1009"/>
      <c r="H85" s="1009"/>
      <c r="I85" s="1009"/>
      <c r="J85" s="1009"/>
      <c r="K85" s="1009"/>
      <c r="L85" s="1009"/>
      <c r="M85" s="1009"/>
      <c r="N85" s="1009"/>
      <c r="O85" s="1009"/>
      <c r="P85" s="1002"/>
    </row>
    <row r="86" spans="1:16" ht="15">
      <c r="A86" s="1037"/>
      <c r="B86" s="1009"/>
      <c r="C86" s="1009"/>
      <c r="D86" s="1053"/>
      <c r="E86" s="1009"/>
      <c r="F86" s="1009"/>
      <c r="G86" s="1009"/>
      <c r="H86" s="1009"/>
      <c r="I86" s="1009"/>
      <c r="J86" s="1009"/>
      <c r="K86" s="1009"/>
      <c r="L86" s="1009"/>
      <c r="M86" s="1009"/>
      <c r="N86" s="1009"/>
      <c r="O86" s="1009"/>
      <c r="P86" s="1002"/>
    </row>
    <row r="87" spans="1:16" ht="15.75">
      <c r="A87" s="1037"/>
      <c r="B87" s="1009"/>
      <c r="C87" s="1009"/>
      <c r="D87" s="1053"/>
      <c r="E87" s="1009"/>
      <c r="F87" s="1009"/>
      <c r="G87" s="1009"/>
      <c r="H87" s="1009"/>
      <c r="I87" s="1009"/>
      <c r="J87" s="1009"/>
      <c r="K87" s="1009"/>
      <c r="L87" s="1009"/>
      <c r="M87" s="1009"/>
      <c r="N87" s="1009"/>
      <c r="O87" s="1009"/>
      <c r="P87" s="1040"/>
    </row>
  </sheetData>
  <mergeCells count="7">
    <mergeCell ref="B65:F66"/>
    <mergeCell ref="A7:N7"/>
    <mergeCell ref="Q9:Q10"/>
    <mergeCell ref="A50:H53"/>
    <mergeCell ref="B55:H57"/>
    <mergeCell ref="B59:H60"/>
    <mergeCell ref="B62:I6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L101"/>
  <sheetViews>
    <sheetView view="pageBreakPreview" topLeftCell="A2" zoomScaleNormal="85" zoomScaleSheetLayoutView="100" workbookViewId="0">
      <selection activeCell="A19" sqref="A19:K19"/>
    </sheetView>
  </sheetViews>
  <sheetFormatPr defaultColWidth="11.42578125" defaultRowHeight="12.75" customHeight="1"/>
  <cols>
    <col min="1" max="1" width="8.140625" customWidth="1"/>
    <col min="2" max="2" width="16.5703125" bestFit="1" customWidth="1"/>
    <col min="3" max="3" width="44.140625" customWidth="1"/>
    <col min="4" max="4" width="29.7109375" customWidth="1"/>
    <col min="5" max="5" width="24.28515625" customWidth="1"/>
    <col min="6" max="6" width="1" customWidth="1"/>
    <col min="7" max="7" width="20.85546875" customWidth="1"/>
    <col min="8" max="8" width="1" customWidth="1"/>
    <col min="9" max="9" width="19.140625" customWidth="1"/>
    <col min="10" max="10" width="16.7109375" customWidth="1"/>
    <col min="11" max="11" width="15.28515625" customWidth="1"/>
    <col min="12" max="12" width="33.5703125" customWidth="1"/>
    <col min="13" max="15" width="11.42578125" customWidth="1"/>
  </cols>
  <sheetData>
    <row r="1" spans="1:12" ht="15.75">
      <c r="A1" s="581"/>
      <c r="B1" s="47"/>
      <c r="C1" s="47"/>
      <c r="D1" s="47"/>
      <c r="E1" s="47"/>
      <c r="F1" s="47"/>
      <c r="G1" s="47"/>
      <c r="H1" s="47"/>
      <c r="I1" s="47"/>
      <c r="J1" s="47"/>
      <c r="K1" s="47"/>
      <c r="L1" s="47"/>
    </row>
    <row r="2" spans="1:12" ht="15.75">
      <c r="A2" s="581"/>
      <c r="B2" s="47"/>
      <c r="C2" s="47"/>
      <c r="D2" s="47"/>
      <c r="E2" s="47"/>
      <c r="F2" s="47"/>
      <c r="G2" s="47"/>
      <c r="H2" s="47"/>
      <c r="I2" s="47"/>
      <c r="J2" s="47"/>
      <c r="K2" s="47"/>
      <c r="L2" s="47"/>
    </row>
    <row r="3" spans="1:12" ht="15">
      <c r="A3" s="1235" t="str">
        <f>+'WS B ADIT &amp; ITC'!A3:I3</f>
        <v>AEP East Companies</v>
      </c>
      <c r="B3" s="1235"/>
      <c r="C3" s="1235"/>
      <c r="D3" s="1235"/>
      <c r="E3" s="1235"/>
      <c r="F3" s="1235"/>
      <c r="G3" s="1235"/>
      <c r="H3" s="1235"/>
      <c r="I3" s="1235"/>
      <c r="J3" s="1235"/>
      <c r="K3" s="1235"/>
      <c r="L3" s="1235"/>
    </row>
    <row r="4" spans="1:12" ht="15">
      <c r="A4" s="1236" t="str">
        <f>"Cost of Service Formula Rate Using Actual/Projected FF1 Balances"</f>
        <v>Cost of Service Formula Rate Using Actual/Projected FF1 Balances</v>
      </c>
      <c r="B4" s="1236"/>
      <c r="C4" s="1236"/>
      <c r="D4" s="1236"/>
      <c r="E4" s="1236"/>
      <c r="F4" s="1236"/>
      <c r="G4" s="1236"/>
      <c r="H4" s="1236"/>
      <c r="I4" s="1236"/>
      <c r="J4" s="1236"/>
      <c r="K4" s="1236"/>
      <c r="L4" s="1236"/>
    </row>
    <row r="5" spans="1:12" ht="15">
      <c r="A5" s="1236" t="s">
        <v>495</v>
      </c>
      <c r="B5" s="1236"/>
      <c r="C5" s="1236"/>
      <c r="D5" s="1236"/>
      <c r="E5" s="1236"/>
      <c r="F5" s="1236"/>
      <c r="G5" s="1236"/>
      <c r="H5" s="1236"/>
      <c r="I5" s="1236"/>
      <c r="J5" s="1236"/>
      <c r="K5" s="1236"/>
      <c r="L5" s="1236"/>
    </row>
    <row r="6" spans="1:12" ht="15">
      <c r="A6" s="1247" t="str">
        <f>TCOS!F9</f>
        <v>Appalachian Power Company</v>
      </c>
      <c r="B6" s="1247"/>
      <c r="C6" s="1247"/>
      <c r="D6" s="1247"/>
      <c r="E6" s="1247"/>
      <c r="F6" s="1247"/>
      <c r="G6" s="1247"/>
      <c r="H6" s="1247"/>
      <c r="I6" s="1247"/>
      <c r="J6" s="1247"/>
      <c r="K6" s="1247"/>
      <c r="L6" s="1247"/>
    </row>
    <row r="7" spans="1:12" ht="15">
      <c r="A7" s="3"/>
      <c r="B7" s="3"/>
      <c r="C7" s="3"/>
      <c r="D7" s="3"/>
      <c r="E7" s="3"/>
      <c r="F7" s="3"/>
      <c r="G7" s="3"/>
      <c r="I7" s="47"/>
      <c r="J7" s="47"/>
      <c r="K7" s="47"/>
      <c r="L7" s="47"/>
    </row>
    <row r="8" spans="1:12" ht="12.75" customHeight="1">
      <c r="A8" s="55"/>
      <c r="B8" s="55" t="s">
        <v>162</v>
      </c>
      <c r="C8" s="55" t="s">
        <v>163</v>
      </c>
      <c r="D8" s="55" t="s">
        <v>4</v>
      </c>
      <c r="E8" s="55" t="s">
        <v>165</v>
      </c>
      <c r="F8" s="55"/>
      <c r="G8" s="55" t="s">
        <v>84</v>
      </c>
      <c r="H8" s="55"/>
      <c r="I8" s="55" t="s">
        <v>85</v>
      </c>
      <c r="J8" s="55" t="s">
        <v>86</v>
      </c>
      <c r="K8" s="55" t="s">
        <v>91</v>
      </c>
      <c r="L8" s="55" t="s">
        <v>500</v>
      </c>
    </row>
    <row r="9" spans="1:12">
      <c r="A9" s="46"/>
      <c r="B9" s="47"/>
      <c r="C9" s="47"/>
      <c r="D9" s="47"/>
      <c r="E9" s="47"/>
      <c r="F9" s="47"/>
      <c r="G9" s="47"/>
      <c r="H9" s="47"/>
      <c r="I9" s="47"/>
      <c r="J9" s="47"/>
      <c r="K9" s="47"/>
      <c r="L9" s="47"/>
    </row>
    <row r="10" spans="1:12" ht="18">
      <c r="A10" s="49"/>
      <c r="B10" s="1264" t="s">
        <v>207</v>
      </c>
      <c r="C10" s="1264"/>
      <c r="D10" s="1264"/>
      <c r="E10" s="1264"/>
      <c r="F10" s="1264"/>
      <c r="G10" s="1264"/>
      <c r="H10" s="1264"/>
      <c r="I10" s="1264"/>
      <c r="J10" s="1264"/>
      <c r="K10" s="1264"/>
      <c r="L10" s="47"/>
    </row>
    <row r="11" spans="1:12">
      <c r="A11" s="49"/>
      <c r="B11" s="47"/>
      <c r="C11" s="47"/>
      <c r="D11" s="47"/>
      <c r="E11" s="47"/>
      <c r="F11" s="47"/>
      <c r="G11" s="47"/>
      <c r="H11" s="47"/>
      <c r="K11" s="47"/>
      <c r="L11" s="47"/>
    </row>
    <row r="12" spans="1:12" ht="12.75" customHeight="1">
      <c r="A12" s="9" t="s">
        <v>169</v>
      </c>
      <c r="B12" s="49"/>
      <c r="C12" s="54"/>
      <c r="D12" s="126"/>
      <c r="E12" s="1245" t="str">
        <f>"Balance @ December 31, "&amp;TCOS!L4&amp;""</f>
        <v>Balance @ December 31, 2026</v>
      </c>
      <c r="F12" s="126"/>
      <c r="G12" s="1245" t="str">
        <f>"Balance @ December 31, "&amp;TCOS!L4-1&amp;""</f>
        <v>Balance @ December 31, 2025</v>
      </c>
      <c r="H12" s="167"/>
      <c r="I12" s="1248" t="str">
        <f>"Average Balance for "&amp;TCOS!L4&amp;""</f>
        <v>Average Balance for 2026</v>
      </c>
      <c r="J12" s="4"/>
      <c r="K12" s="47"/>
      <c r="L12" s="55"/>
    </row>
    <row r="13" spans="1:12">
      <c r="A13" s="9" t="s">
        <v>106</v>
      </c>
      <c r="B13" s="51"/>
      <c r="C13" s="49"/>
      <c r="D13" s="127" t="s">
        <v>206</v>
      </c>
      <c r="E13" s="1246"/>
      <c r="F13" s="128"/>
      <c r="G13" s="1246"/>
      <c r="H13" s="129"/>
      <c r="I13" s="1246"/>
      <c r="J13" s="4"/>
      <c r="K13" s="56"/>
      <c r="L13" s="57"/>
    </row>
    <row r="14" spans="1:12">
      <c r="A14" s="51"/>
      <c r="B14" s="51"/>
      <c r="C14" s="49"/>
      <c r="D14" s="53"/>
      <c r="E14" s="48"/>
      <c r="F14" s="48"/>
      <c r="G14" s="145"/>
      <c r="H14" s="52"/>
      <c r="I14" s="47"/>
      <c r="K14" s="56"/>
      <c r="L14" s="57"/>
    </row>
    <row r="15" spans="1:12">
      <c r="A15" s="51">
        <v>1</v>
      </c>
      <c r="B15" s="51"/>
      <c r="C15" s="47"/>
      <c r="D15" s="42"/>
      <c r="E15" s="13"/>
      <c r="F15" s="13"/>
      <c r="G15" s="13"/>
      <c r="H15" s="13"/>
      <c r="I15" s="13"/>
      <c r="J15" s="47"/>
      <c r="K15" s="13"/>
      <c r="L15" s="13"/>
    </row>
    <row r="16" spans="1:12">
      <c r="A16" s="51"/>
      <c r="B16" s="51"/>
      <c r="C16" s="42"/>
      <c r="D16" s="42"/>
      <c r="E16" s="13"/>
      <c r="F16" s="13"/>
      <c r="G16" s="13"/>
      <c r="H16" s="13"/>
      <c r="I16" s="13"/>
      <c r="J16" s="47"/>
      <c r="K16" s="13"/>
      <c r="L16" s="13"/>
    </row>
    <row r="17" spans="1:12">
      <c r="A17" s="51">
        <f>+A15+1</f>
        <v>2</v>
      </c>
      <c r="B17" s="51"/>
      <c r="C17" s="42" t="s">
        <v>526</v>
      </c>
      <c r="D17" s="50" t="s">
        <v>435</v>
      </c>
      <c r="E17" s="543">
        <v>87321</v>
      </c>
      <c r="F17" s="13"/>
      <c r="G17" s="543">
        <v>87321</v>
      </c>
      <c r="H17" s="13"/>
      <c r="I17" s="94">
        <f>IF(G17="",0,(E17+G17)/2)</f>
        <v>87321</v>
      </c>
      <c r="K17" s="94"/>
      <c r="L17" s="13"/>
    </row>
    <row r="18" spans="1:12">
      <c r="A18" s="51"/>
      <c r="B18" s="51"/>
      <c r="C18" s="42"/>
      <c r="I18" s="4"/>
      <c r="L18" s="13"/>
    </row>
    <row r="19" spans="1:12">
      <c r="A19" s="1204"/>
      <c r="B19" s="1204"/>
      <c r="C19" s="1205"/>
      <c r="D19" s="1206"/>
      <c r="E19" s="1207"/>
      <c r="F19" s="100"/>
      <c r="G19" s="1207"/>
      <c r="H19" s="166"/>
      <c r="I19" s="1056"/>
      <c r="L19" s="13"/>
    </row>
    <row r="20" spans="1:12">
      <c r="A20" s="51"/>
      <c r="B20" s="51"/>
      <c r="C20" s="42"/>
      <c r="I20" s="4"/>
      <c r="L20" s="13"/>
    </row>
    <row r="21" spans="1:12">
      <c r="A21" s="51">
        <f>+A17+1</f>
        <v>3</v>
      </c>
      <c r="B21" s="51"/>
      <c r="C21" s="42" t="s">
        <v>528</v>
      </c>
      <c r="D21" s="50" t="s">
        <v>436</v>
      </c>
      <c r="E21" s="543">
        <v>357654</v>
      </c>
      <c r="F21" s="13"/>
      <c r="G21" s="543">
        <v>357654</v>
      </c>
      <c r="H21" s="52"/>
      <c r="I21" s="94">
        <f>IF(G21="",0,(E21+G21)/2)</f>
        <v>357654</v>
      </c>
      <c r="K21" s="56"/>
      <c r="L21" s="57"/>
    </row>
    <row r="22" spans="1:12">
      <c r="A22" s="51"/>
      <c r="B22" s="51"/>
      <c r="C22" s="42"/>
      <c r="D22" s="50"/>
      <c r="K22" s="56"/>
      <c r="L22" s="57"/>
    </row>
    <row r="23" spans="1:12">
      <c r="A23" s="51">
        <f>+A21+1</f>
        <v>4</v>
      </c>
      <c r="B23" s="51"/>
      <c r="C23" s="42" t="s">
        <v>757</v>
      </c>
      <c r="D23" s="50" t="s">
        <v>437</v>
      </c>
      <c r="E23" s="543"/>
      <c r="F23" s="13"/>
      <c r="G23" s="543"/>
      <c r="H23" s="52"/>
      <c r="I23" s="94">
        <f>IF(G23="",0,(E23+G23)/2)</f>
        <v>0</v>
      </c>
      <c r="K23" s="56"/>
      <c r="L23" s="57"/>
    </row>
    <row r="24" spans="1:12">
      <c r="A24" s="51"/>
      <c r="B24" s="51"/>
      <c r="C24" s="49"/>
      <c r="D24" s="53"/>
      <c r="E24" s="48"/>
      <c r="F24" s="48"/>
      <c r="G24" s="47"/>
      <c r="H24" s="52"/>
      <c r="I24" s="47"/>
      <c r="K24" s="56"/>
      <c r="L24" s="57"/>
    </row>
    <row r="25" spans="1:12">
      <c r="A25" s="117"/>
      <c r="B25" s="117"/>
      <c r="C25" s="118"/>
      <c r="D25" s="119"/>
      <c r="E25" s="120"/>
      <c r="F25" s="120"/>
      <c r="G25" s="121"/>
      <c r="H25" s="122"/>
      <c r="I25" s="121"/>
      <c r="J25" s="123"/>
      <c r="K25" s="124"/>
      <c r="L25" s="125"/>
    </row>
    <row r="26" spans="1:12" ht="18">
      <c r="A26" s="51"/>
      <c r="B26" s="1264" t="s">
        <v>756</v>
      </c>
      <c r="C26" s="1264"/>
      <c r="D26" s="1264"/>
      <c r="E26" s="1264"/>
      <c r="F26" s="1264"/>
      <c r="G26" s="1264"/>
      <c r="H26" s="1264"/>
      <c r="I26" s="1264"/>
      <c r="J26" s="1264"/>
      <c r="K26" s="1264"/>
      <c r="L26" s="57"/>
    </row>
    <row r="27" spans="1:12" ht="12.75" customHeight="1">
      <c r="A27" s="51"/>
      <c r="B27" s="104"/>
      <c r="C27" s="49"/>
      <c r="D27" s="13"/>
      <c r="E27" s="7"/>
      <c r="F27" s="47"/>
      <c r="G27" s="7" t="s">
        <v>87</v>
      </c>
      <c r="H27" s="47"/>
      <c r="I27" s="5" t="s">
        <v>115</v>
      </c>
      <c r="J27" s="5" t="s">
        <v>115</v>
      </c>
      <c r="K27" s="5" t="s">
        <v>179</v>
      </c>
      <c r="L27" s="57"/>
    </row>
    <row r="28" spans="1:12" ht="12.75" customHeight="1">
      <c r="A28" s="51"/>
      <c r="B28" s="104"/>
      <c r="C28" s="49"/>
      <c r="D28" s="102" t="s">
        <v>501</v>
      </c>
      <c r="E28" s="5" t="s">
        <v>530</v>
      </c>
      <c r="F28" s="47"/>
      <c r="G28" s="5" t="s">
        <v>115</v>
      </c>
      <c r="H28" s="47"/>
      <c r="I28" s="5" t="s">
        <v>523</v>
      </c>
      <c r="J28" s="5" t="s">
        <v>161</v>
      </c>
      <c r="K28" s="5" t="s">
        <v>180</v>
      </c>
      <c r="L28" s="57"/>
    </row>
    <row r="29" spans="1:12" ht="12.75" customHeight="1">
      <c r="A29" s="51">
        <f>+A23+1</f>
        <v>5</v>
      </c>
      <c r="B29" s="104"/>
      <c r="C29" s="49"/>
      <c r="D29" s="9" t="s">
        <v>88</v>
      </c>
      <c r="E29" s="9" t="s">
        <v>502</v>
      </c>
      <c r="F29" s="47"/>
      <c r="G29" s="9" t="s">
        <v>524</v>
      </c>
      <c r="H29" s="47"/>
      <c r="I29" s="9" t="s">
        <v>524</v>
      </c>
      <c r="J29" s="9" t="s">
        <v>524</v>
      </c>
      <c r="K29" s="9" t="s">
        <v>525</v>
      </c>
      <c r="L29" s="57"/>
    </row>
    <row r="30" spans="1:12">
      <c r="A30" s="51"/>
      <c r="B30" s="51"/>
      <c r="C30" s="49"/>
      <c r="D30" s="53"/>
      <c r="E30" s="48"/>
      <c r="F30" s="48"/>
      <c r="G30" s="47"/>
      <c r="H30" s="52"/>
      <c r="I30" s="47"/>
      <c r="K30" s="146"/>
      <c r="L30" s="57"/>
    </row>
    <row r="31" spans="1:12">
      <c r="A31" s="51">
        <f>+A29+1</f>
        <v>6</v>
      </c>
      <c r="B31" s="51"/>
      <c r="C31" s="47" t="str">
        <f>"Totals as of December 31, "&amp;TCOS!L4&amp;""</f>
        <v>Totals as of December 31, 2026</v>
      </c>
      <c r="D31" s="105">
        <f>ROUND(D65,0)</f>
        <v>55108228</v>
      </c>
      <c r="E31" s="151">
        <f>ROUND(E65,0)</f>
        <v>-284488346</v>
      </c>
      <c r="F31" s="106"/>
      <c r="G31" s="105">
        <f>ROUND(G65,0)</f>
        <v>0</v>
      </c>
      <c r="H31" s="52"/>
      <c r="I31" s="105">
        <f>ROUND(I65,0)</f>
        <v>7992016</v>
      </c>
      <c r="J31" s="107">
        <f>+J65</f>
        <v>331604558.07200003</v>
      </c>
      <c r="K31" s="105">
        <f>ROUND(K65,0)</f>
        <v>339596574</v>
      </c>
      <c r="L31" s="57"/>
    </row>
    <row r="32" spans="1:12">
      <c r="A32" s="51">
        <f>+A31+1</f>
        <v>7</v>
      </c>
      <c r="B32" s="51"/>
      <c r="C32" s="47" t="str">
        <f>"Totals as of December 31, "&amp;TCOS!L4-1&amp;""</f>
        <v>Totals as of December 31, 2025</v>
      </c>
      <c r="D32" s="108">
        <f>IF(D98="","",D98)</f>
        <v>49054228.127936639</v>
      </c>
      <c r="E32" s="152">
        <f>IF(E98="","",E98)</f>
        <v>-284026370.45628065</v>
      </c>
      <c r="F32" s="48"/>
      <c r="G32" s="108" t="str">
        <f>IF(G98="","",G98)</f>
        <v/>
      </c>
      <c r="H32" s="52"/>
      <c r="I32" s="108">
        <f>IF(I98="","",I98)</f>
        <v>7114040.512217287</v>
      </c>
      <c r="J32" s="108">
        <f>IF(J98="","",J98)</f>
        <v>325966558.07200003</v>
      </c>
      <c r="K32" s="108">
        <f>IF(K98="","",K98)</f>
        <v>333080598.58421731</v>
      </c>
      <c r="L32" s="57"/>
    </row>
    <row r="33" spans="1:12" ht="13.5" thickBot="1">
      <c r="A33" s="51">
        <f>+A32+1</f>
        <v>8</v>
      </c>
      <c r="B33" s="51"/>
      <c r="C33" s="54" t="s">
        <v>213</v>
      </c>
      <c r="D33" s="109">
        <f>IF(D32="",0,(D31+D32)/2)</f>
        <v>52081228.063968316</v>
      </c>
      <c r="E33" s="109">
        <f>IF(E32="",0,(E31+E32)/2)</f>
        <v>-284257358.22814035</v>
      </c>
      <c r="F33" s="110"/>
      <c r="G33" s="109">
        <f>IF(G32="",0,(G31+G32)/2)</f>
        <v>0</v>
      </c>
      <c r="H33" s="63"/>
      <c r="I33" s="109">
        <f>IF(I32="",0,(I31+I32)/2)</f>
        <v>7553028.2561086435</v>
      </c>
      <c r="J33" s="109">
        <f>IF(J32="",0,(J31+J32)/2)</f>
        <v>328785558.07200003</v>
      </c>
      <c r="K33" s="109">
        <f>IF(K32="",0,(K31+K32)/2)</f>
        <v>336338586.29210865</v>
      </c>
      <c r="L33" s="57"/>
    </row>
    <row r="34" spans="1:12" ht="13.5" thickTop="1">
      <c r="A34" s="51"/>
      <c r="B34" s="51"/>
      <c r="C34" s="47"/>
      <c r="D34" s="53"/>
      <c r="E34" s="48"/>
      <c r="F34" s="48"/>
      <c r="G34" s="47"/>
      <c r="H34" s="52"/>
      <c r="I34" s="47"/>
      <c r="K34" s="56"/>
      <c r="L34" s="57"/>
    </row>
    <row r="35" spans="1:12">
      <c r="A35" s="47"/>
      <c r="B35" s="47"/>
      <c r="C35" s="47"/>
      <c r="D35" s="47"/>
      <c r="E35" s="47"/>
      <c r="F35" s="47"/>
      <c r="G35" s="47"/>
      <c r="H35" s="47"/>
      <c r="I35" s="47"/>
      <c r="K35" s="56"/>
      <c r="L35" s="57"/>
    </row>
    <row r="36" spans="1:12" ht="18">
      <c r="A36" s="51"/>
      <c r="B36" s="1265" t="str">
        <f>"Prepayments Account 165 - Balance @ 12/31/"&amp;D38&amp;""</f>
        <v>Prepayments Account 165 - Balance @ 12/31/2026</v>
      </c>
      <c r="C36" s="1266"/>
      <c r="D36" s="1266"/>
      <c r="E36" s="1266"/>
      <c r="F36" s="1266"/>
      <c r="G36" s="1266"/>
      <c r="H36" s="1266"/>
      <c r="I36" s="1266"/>
      <c r="J36" s="1266"/>
      <c r="K36" s="56"/>
      <c r="L36" s="57"/>
    </row>
    <row r="37" spans="1:12">
      <c r="A37" s="51"/>
      <c r="B37" s="99"/>
      <c r="C37" s="100"/>
      <c r="D37" s="13"/>
      <c r="E37" s="7"/>
      <c r="F37" s="47"/>
      <c r="G37" s="7" t="s">
        <v>87</v>
      </c>
      <c r="H37" s="47"/>
      <c r="I37" s="5" t="s">
        <v>115</v>
      </c>
      <c r="J37" s="5" t="s">
        <v>115</v>
      </c>
      <c r="K37" s="5" t="s">
        <v>179</v>
      </c>
    </row>
    <row r="38" spans="1:12">
      <c r="A38" s="51"/>
      <c r="B38" s="99"/>
      <c r="C38" s="101"/>
      <c r="D38" s="102" t="str">
        <f>""&amp;TCOS!L4</f>
        <v>2026</v>
      </c>
      <c r="E38" s="5" t="s">
        <v>530</v>
      </c>
      <c r="F38" s="47"/>
      <c r="G38" s="5" t="s">
        <v>115</v>
      </c>
      <c r="H38" s="47"/>
      <c r="I38" s="5" t="s">
        <v>523</v>
      </c>
      <c r="J38" s="5" t="s">
        <v>161</v>
      </c>
      <c r="K38" s="5" t="s">
        <v>180</v>
      </c>
    </row>
    <row r="39" spans="1:12">
      <c r="A39" s="51">
        <f>+A33+1</f>
        <v>9</v>
      </c>
      <c r="B39" s="9" t="s">
        <v>90</v>
      </c>
      <c r="C39" s="9" t="s">
        <v>167</v>
      </c>
      <c r="D39" s="9" t="s">
        <v>88</v>
      </c>
      <c r="E39" s="9" t="s">
        <v>502</v>
      </c>
      <c r="F39" s="47"/>
      <c r="G39" s="9" t="s">
        <v>524</v>
      </c>
      <c r="H39" s="47"/>
      <c r="I39" s="9" t="s">
        <v>524</v>
      </c>
      <c r="J39" s="9" t="s">
        <v>524</v>
      </c>
      <c r="K39" s="9" t="s">
        <v>525</v>
      </c>
      <c r="L39" s="9" t="s">
        <v>39</v>
      </c>
    </row>
    <row r="40" spans="1:12">
      <c r="A40" s="51"/>
      <c r="B40" s="99"/>
      <c r="C40" s="100"/>
      <c r="D40" s="100"/>
      <c r="E40" s="100"/>
      <c r="F40" s="47"/>
      <c r="G40" s="100"/>
      <c r="H40" s="47"/>
      <c r="I40" s="100"/>
      <c r="J40" s="100"/>
      <c r="K40" s="146"/>
    </row>
    <row r="41" spans="1:12" ht="14.25">
      <c r="A41" s="51">
        <f>+A39+1</f>
        <v>10</v>
      </c>
      <c r="B41" s="986" t="s">
        <v>863</v>
      </c>
      <c r="C41" s="987" t="s">
        <v>864</v>
      </c>
      <c r="D41" s="1054">
        <v>4073972.1288479888</v>
      </c>
      <c r="E41" s="66">
        <f>+D41-K41</f>
        <v>0</v>
      </c>
      <c r="F41" s="1055"/>
      <c r="G41" s="68"/>
      <c r="H41" s="1055"/>
      <c r="I41" s="68">
        <f>D41</f>
        <v>4073972.1288479888</v>
      </c>
      <c r="J41" s="68"/>
      <c r="K41" s="68">
        <f t="shared" ref="K41:K54" si="0">+G41+I41+J41</f>
        <v>4073972.1288479888</v>
      </c>
      <c r="L41" t="s">
        <v>531</v>
      </c>
    </row>
    <row r="42" spans="1:12" ht="14.25">
      <c r="A42" s="51">
        <f t="shared" ref="A42:A54" si="1">+A41+1</f>
        <v>11</v>
      </c>
      <c r="B42" s="988" t="s">
        <v>1160</v>
      </c>
      <c r="C42" s="987" t="s">
        <v>865</v>
      </c>
      <c r="D42" s="1054">
        <v>0</v>
      </c>
      <c r="E42" s="66">
        <f t="shared" ref="E42:E60" si="2">+D42-K42</f>
        <v>0</v>
      </c>
      <c r="F42" s="1055"/>
      <c r="G42" s="68"/>
      <c r="H42" s="1055"/>
      <c r="I42" s="68"/>
      <c r="J42" s="68"/>
      <c r="K42" s="68">
        <f t="shared" si="0"/>
        <v>0</v>
      </c>
      <c r="L42" s="1055"/>
    </row>
    <row r="43" spans="1:12" ht="14.25">
      <c r="A43" s="51">
        <f t="shared" si="1"/>
        <v>12</v>
      </c>
      <c r="B43" s="988" t="s">
        <v>1161</v>
      </c>
      <c r="C43" s="987" t="s">
        <v>865</v>
      </c>
      <c r="D43" s="1054">
        <v>0</v>
      </c>
      <c r="E43" s="66">
        <f t="shared" si="2"/>
        <v>0</v>
      </c>
      <c r="F43" s="1055"/>
      <c r="G43" s="68"/>
      <c r="H43" s="1055"/>
      <c r="I43" s="68"/>
      <c r="J43" s="68"/>
      <c r="K43" s="68">
        <f t="shared" si="0"/>
        <v>0</v>
      </c>
      <c r="L43" s="1055" t="s">
        <v>1051</v>
      </c>
    </row>
    <row r="44" spans="1:12" ht="14.25">
      <c r="A44" s="51">
        <f t="shared" si="1"/>
        <v>13</v>
      </c>
      <c r="B44" s="988" t="s">
        <v>1162</v>
      </c>
      <c r="C44" s="987" t="s">
        <v>865</v>
      </c>
      <c r="D44" s="1054">
        <v>0</v>
      </c>
      <c r="E44" s="66">
        <f t="shared" si="2"/>
        <v>0</v>
      </c>
      <c r="F44" s="1055"/>
      <c r="G44" s="68"/>
      <c r="H44" s="1055"/>
      <c r="I44" s="68"/>
      <c r="J44" s="68"/>
      <c r="K44" s="68">
        <f t="shared" si="0"/>
        <v>0</v>
      </c>
      <c r="L44" s="1055" t="s">
        <v>945</v>
      </c>
    </row>
    <row r="45" spans="1:12" ht="14.25">
      <c r="A45" s="51">
        <f t="shared" si="1"/>
        <v>14</v>
      </c>
      <c r="B45" s="989" t="s">
        <v>866</v>
      </c>
      <c r="C45" s="987" t="s">
        <v>867</v>
      </c>
      <c r="D45" s="1054">
        <v>20601.333003080435</v>
      </c>
      <c r="E45" s="66">
        <f t="shared" si="2"/>
        <v>20601.333003080435</v>
      </c>
      <c r="F45" s="1055"/>
      <c r="G45" s="68"/>
      <c r="H45" s="1055"/>
      <c r="I45" s="68"/>
      <c r="J45" s="68"/>
      <c r="K45" s="68">
        <f t="shared" si="0"/>
        <v>0</v>
      </c>
      <c r="L45" s="166" t="s">
        <v>867</v>
      </c>
    </row>
    <row r="46" spans="1:12" ht="14.25">
      <c r="A46" s="51">
        <f t="shared" si="1"/>
        <v>15</v>
      </c>
      <c r="B46" s="986" t="s">
        <v>868</v>
      </c>
      <c r="C46" s="987" t="s">
        <v>869</v>
      </c>
      <c r="D46" s="1054">
        <v>823138.48185715172</v>
      </c>
      <c r="E46" s="66">
        <f t="shared" si="2"/>
        <v>823138.48185715172</v>
      </c>
      <c r="F46" s="1055"/>
      <c r="G46" s="1056"/>
      <c r="H46" s="1055"/>
      <c r="I46" s="1056"/>
      <c r="J46" s="1056"/>
      <c r="K46" s="1056">
        <f t="shared" si="0"/>
        <v>0</v>
      </c>
      <c r="L46" t="s">
        <v>946</v>
      </c>
    </row>
    <row r="47" spans="1:12" ht="14.25">
      <c r="A47" s="51">
        <f t="shared" si="1"/>
        <v>16</v>
      </c>
      <c r="B47" s="986" t="s">
        <v>870</v>
      </c>
      <c r="C47" s="987" t="s">
        <v>871</v>
      </c>
      <c r="D47" s="1054">
        <v>591308.31466083636</v>
      </c>
      <c r="E47" s="66">
        <f t="shared" si="2"/>
        <v>591308.31466083636</v>
      </c>
      <c r="F47" s="1055"/>
      <c r="G47" s="68"/>
      <c r="H47" s="1055"/>
      <c r="I47" s="68"/>
      <c r="J47" s="68"/>
      <c r="K47" s="1056">
        <f t="shared" si="0"/>
        <v>0</v>
      </c>
      <c r="L47" t="s">
        <v>888</v>
      </c>
    </row>
    <row r="48" spans="1:12" ht="14.25">
      <c r="A48" s="51">
        <f t="shared" si="1"/>
        <v>17</v>
      </c>
      <c r="B48" s="989" t="s">
        <v>956</v>
      </c>
      <c r="C48" s="987" t="s">
        <v>957</v>
      </c>
      <c r="D48" s="1054">
        <v>0</v>
      </c>
      <c r="E48" s="66">
        <f t="shared" si="2"/>
        <v>0</v>
      </c>
      <c r="F48" s="1055"/>
      <c r="G48" s="68"/>
      <c r="H48" s="1055"/>
      <c r="I48" s="68"/>
      <c r="J48" s="68"/>
      <c r="K48" s="1056">
        <f t="shared" si="0"/>
        <v>0</v>
      </c>
      <c r="L48" s="166" t="s">
        <v>947</v>
      </c>
    </row>
    <row r="49" spans="1:12" ht="14.25">
      <c r="A49" s="51">
        <f t="shared" si="1"/>
        <v>18</v>
      </c>
      <c r="B49" s="990" t="s">
        <v>872</v>
      </c>
      <c r="C49" s="987" t="s">
        <v>958</v>
      </c>
      <c r="D49" s="1054">
        <v>161351264.33000001</v>
      </c>
      <c r="E49" s="66">
        <f t="shared" si="2"/>
        <v>0</v>
      </c>
      <c r="F49" s="1055"/>
      <c r="G49" s="68"/>
      <c r="H49" s="1055"/>
      <c r="I49" s="68"/>
      <c r="J49" s="68">
        <f>D49</f>
        <v>161351264.33000001</v>
      </c>
      <c r="K49" s="1056">
        <f t="shared" si="0"/>
        <v>161351264.33000001</v>
      </c>
      <c r="L49" s="166" t="s">
        <v>948</v>
      </c>
    </row>
    <row r="50" spans="1:12" ht="14.25">
      <c r="A50" s="51">
        <f t="shared" si="1"/>
        <v>19</v>
      </c>
      <c r="B50" s="990" t="s">
        <v>874</v>
      </c>
      <c r="C50" s="987" t="s">
        <v>875</v>
      </c>
      <c r="D50" s="1054">
        <v>-161351264.33000001</v>
      </c>
      <c r="E50" s="66">
        <f t="shared" si="2"/>
        <v>-161351264.33000001</v>
      </c>
      <c r="F50" s="1055"/>
      <c r="G50" s="1056"/>
      <c r="H50" s="1055"/>
      <c r="I50" s="1056"/>
      <c r="J50" s="1056"/>
      <c r="K50" s="1056">
        <f t="shared" si="0"/>
        <v>0</v>
      </c>
      <c r="L50" t="s">
        <v>949</v>
      </c>
    </row>
    <row r="51" spans="1:12" ht="14.25">
      <c r="A51" s="51">
        <f t="shared" si="1"/>
        <v>20</v>
      </c>
      <c r="B51" s="988">
        <v>165001223</v>
      </c>
      <c r="C51" s="987" t="s">
        <v>873</v>
      </c>
      <c r="D51" s="1054">
        <v>53380.342847981759</v>
      </c>
      <c r="E51" s="66">
        <f t="shared" si="2"/>
        <v>53380.342847981759</v>
      </c>
      <c r="F51" s="1055"/>
      <c r="G51" s="1056"/>
      <c r="H51" s="1055"/>
      <c r="I51" s="1056"/>
      <c r="J51" s="1056"/>
      <c r="K51" s="1056">
        <f t="shared" si="0"/>
        <v>0</v>
      </c>
      <c r="L51" t="s">
        <v>889</v>
      </c>
    </row>
    <row r="52" spans="1:12" ht="14.25">
      <c r="A52" s="51">
        <f t="shared" si="1"/>
        <v>21</v>
      </c>
      <c r="B52" s="988" t="s">
        <v>876</v>
      </c>
      <c r="C52" s="987" t="s">
        <v>877</v>
      </c>
      <c r="D52" s="1054">
        <v>0</v>
      </c>
      <c r="E52" s="66">
        <f t="shared" si="2"/>
        <v>0</v>
      </c>
      <c r="F52" s="1055"/>
      <c r="G52" s="1056"/>
      <c r="H52" s="1055"/>
      <c r="I52" s="1056"/>
      <c r="J52" s="1056"/>
      <c r="K52" s="1056">
        <f t="shared" si="0"/>
        <v>0</v>
      </c>
      <c r="L52" t="s">
        <v>114</v>
      </c>
    </row>
    <row r="53" spans="1:12" ht="14.25">
      <c r="A53" s="51">
        <f t="shared" si="1"/>
        <v>22</v>
      </c>
      <c r="B53" s="988" t="s">
        <v>878</v>
      </c>
      <c r="C53" s="987" t="s">
        <v>879</v>
      </c>
      <c r="D53" s="1054">
        <v>3539393.768043566</v>
      </c>
      <c r="E53" s="66">
        <f t="shared" si="2"/>
        <v>0</v>
      </c>
      <c r="F53" s="1055"/>
      <c r="G53" s="1056"/>
      <c r="H53" s="1055"/>
      <c r="I53" s="68">
        <f t="shared" ref="I53:I54" si="3">D53</f>
        <v>3539393.768043566</v>
      </c>
      <c r="J53" s="1056"/>
      <c r="K53" s="1056">
        <f t="shared" si="0"/>
        <v>3539393.768043566</v>
      </c>
      <c r="L53" t="s">
        <v>890</v>
      </c>
    </row>
    <row r="54" spans="1:12" ht="14.25">
      <c r="A54" s="51">
        <f t="shared" si="1"/>
        <v>23</v>
      </c>
      <c r="B54" s="988" t="s">
        <v>880</v>
      </c>
      <c r="C54" s="987" t="s">
        <v>881</v>
      </c>
      <c r="D54" s="1054">
        <v>378649.92760312947</v>
      </c>
      <c r="E54" s="66">
        <f t="shared" si="2"/>
        <v>0</v>
      </c>
      <c r="F54" s="1055"/>
      <c r="G54" s="68"/>
      <c r="H54" s="1055"/>
      <c r="I54" s="68">
        <f t="shared" si="3"/>
        <v>378649.92760312947</v>
      </c>
      <c r="J54" s="68"/>
      <c r="K54" s="1056">
        <f t="shared" si="0"/>
        <v>378649.92760312947</v>
      </c>
      <c r="L54" t="s">
        <v>595</v>
      </c>
    </row>
    <row r="55" spans="1:12" ht="14.25">
      <c r="A55" s="51">
        <f t="shared" ref="A55:A64" si="4">A54+1</f>
        <v>24</v>
      </c>
      <c r="B55" s="988">
        <v>1650024</v>
      </c>
      <c r="C55" s="987" t="s">
        <v>1163</v>
      </c>
      <c r="D55" s="1054">
        <v>41144715.771895111</v>
      </c>
      <c r="E55" s="66">
        <f t="shared" si="2"/>
        <v>41144715.771895111</v>
      </c>
      <c r="F55" s="1055"/>
      <c r="G55" s="68"/>
      <c r="H55" s="1055"/>
      <c r="I55" s="68"/>
      <c r="J55" s="68"/>
      <c r="K55" s="1056">
        <f t="shared" ref="K55:K60" si="5">J55</f>
        <v>0</v>
      </c>
      <c r="L55" t="s">
        <v>1164</v>
      </c>
    </row>
    <row r="56" spans="1:12" ht="14.25">
      <c r="A56" s="51">
        <f t="shared" si="4"/>
        <v>25</v>
      </c>
      <c r="B56" s="988" t="s">
        <v>882</v>
      </c>
      <c r="C56" s="987" t="s">
        <v>883</v>
      </c>
      <c r="D56" s="1054">
        <v>170253293.74200001</v>
      </c>
      <c r="E56" s="66">
        <f t="shared" si="2"/>
        <v>0</v>
      </c>
      <c r="F56" s="1055"/>
      <c r="G56" s="68"/>
      <c r="H56" s="1055"/>
      <c r="I56" s="68"/>
      <c r="J56" s="68">
        <f>D56</f>
        <v>170253293.74200001</v>
      </c>
      <c r="K56" s="1056">
        <f t="shared" si="5"/>
        <v>170253293.74200001</v>
      </c>
      <c r="L56" t="s">
        <v>891</v>
      </c>
    </row>
    <row r="57" spans="1:12" ht="14.25">
      <c r="A57" s="51">
        <f t="shared" si="4"/>
        <v>26</v>
      </c>
      <c r="B57" s="988" t="s">
        <v>884</v>
      </c>
      <c r="C57" s="987" t="s">
        <v>885</v>
      </c>
      <c r="D57" s="1054">
        <v>0</v>
      </c>
      <c r="E57" s="66">
        <f t="shared" si="2"/>
        <v>0</v>
      </c>
      <c r="F57" s="1055"/>
      <c r="G57" s="68"/>
      <c r="H57" s="1055"/>
      <c r="I57" s="68"/>
      <c r="J57" s="68"/>
      <c r="K57" s="1056">
        <f t="shared" si="5"/>
        <v>0</v>
      </c>
      <c r="L57" t="s">
        <v>114</v>
      </c>
    </row>
    <row r="58" spans="1:12" ht="14.25">
      <c r="A58" s="51">
        <f t="shared" si="4"/>
        <v>27</v>
      </c>
      <c r="B58" s="988" t="s">
        <v>886</v>
      </c>
      <c r="C58" s="987" t="s">
        <v>887</v>
      </c>
      <c r="D58" s="1054">
        <v>-170253293.74200001</v>
      </c>
      <c r="E58" s="66">
        <f t="shared" si="2"/>
        <v>-170253293.74200001</v>
      </c>
      <c r="F58" s="1055"/>
      <c r="G58" s="68"/>
      <c r="H58" s="1055"/>
      <c r="I58" s="68"/>
      <c r="J58" s="68"/>
      <c r="K58" s="1056">
        <f>G58</f>
        <v>0</v>
      </c>
      <c r="L58" t="s">
        <v>949</v>
      </c>
    </row>
    <row r="59" spans="1:12" ht="14.25">
      <c r="A59" s="51">
        <f>A58+1</f>
        <v>28</v>
      </c>
      <c r="B59" s="988" t="s">
        <v>1165</v>
      </c>
      <c r="C59" s="987" t="s">
        <v>1166</v>
      </c>
      <c r="D59" s="1054">
        <v>2223006.2336640782</v>
      </c>
      <c r="E59" s="66">
        <f t="shared" si="2"/>
        <v>2223006.2336640782</v>
      </c>
      <c r="F59" s="1055"/>
      <c r="G59" s="68"/>
      <c r="H59" s="1055"/>
      <c r="I59" s="68"/>
      <c r="J59" s="68"/>
      <c r="K59" s="1056">
        <f t="shared" ref="K59" si="6">J59</f>
        <v>0</v>
      </c>
      <c r="L59" t="s">
        <v>1167</v>
      </c>
    </row>
    <row r="60" spans="1:12" ht="14.25">
      <c r="A60" s="51">
        <f>A59+1</f>
        <v>29</v>
      </c>
      <c r="B60" s="988" t="s">
        <v>1168</v>
      </c>
      <c r="C60" s="987" t="s">
        <v>1169</v>
      </c>
      <c r="D60" s="1054">
        <v>2260061.8252590825</v>
      </c>
      <c r="E60" s="66">
        <f t="shared" si="2"/>
        <v>2260061.8252590825</v>
      </c>
      <c r="F60" s="1055"/>
      <c r="G60" s="68"/>
      <c r="H60" s="1055"/>
      <c r="I60" s="68"/>
      <c r="J60" s="68"/>
      <c r="K60" s="1056">
        <f t="shared" si="5"/>
        <v>0</v>
      </c>
      <c r="L60" t="s">
        <v>1170</v>
      </c>
    </row>
    <row r="61" spans="1:12" ht="14.25">
      <c r="A61" s="51">
        <f>A60+1</f>
        <v>30</v>
      </c>
      <c r="B61" s="988"/>
      <c r="C61" s="987"/>
      <c r="D61" s="545"/>
      <c r="E61" s="951"/>
      <c r="F61" s="47"/>
      <c r="G61" s="952"/>
      <c r="H61" s="47"/>
      <c r="I61" s="952"/>
      <c r="J61" s="952"/>
      <c r="K61" s="953"/>
    </row>
    <row r="62" spans="1:12" ht="14.25">
      <c r="A62" s="51">
        <f>A61+1</f>
        <v>31</v>
      </c>
      <c r="B62" s="963"/>
      <c r="C62" s="544"/>
      <c r="D62" s="545"/>
      <c r="E62" s="951"/>
      <c r="F62" s="47"/>
      <c r="G62" s="952"/>
      <c r="H62" s="47"/>
      <c r="I62" s="952"/>
      <c r="J62" s="952"/>
      <c r="K62" s="953"/>
    </row>
    <row r="63" spans="1:12" ht="13.5" customHeight="1">
      <c r="A63" s="51">
        <f t="shared" si="4"/>
        <v>32</v>
      </c>
      <c r="B63" s="963"/>
      <c r="C63" s="544"/>
      <c r="D63" s="545"/>
      <c r="E63" s="951"/>
      <c r="F63" s="47"/>
      <c r="G63" s="952"/>
      <c r="H63" s="47"/>
      <c r="I63" s="952"/>
      <c r="J63" s="952"/>
      <c r="K63" s="953"/>
    </row>
    <row r="64" spans="1:12" ht="15" thickBot="1">
      <c r="A64" s="51">
        <f t="shared" si="4"/>
        <v>33</v>
      </c>
      <c r="B64" s="546"/>
      <c r="C64" s="544"/>
      <c r="D64" s="545"/>
      <c r="E64" s="96"/>
      <c r="F64" s="47"/>
      <c r="G64" s="68"/>
      <c r="H64" s="47"/>
      <c r="I64" s="68"/>
      <c r="J64" s="68"/>
      <c r="K64" s="96"/>
      <c r="L64" t="s">
        <v>114</v>
      </c>
    </row>
    <row r="65" spans="1:12" ht="14.25">
      <c r="A65" s="51"/>
      <c r="B65" s="99"/>
      <c r="C65" s="19" t="s">
        <v>503</v>
      </c>
      <c r="D65" s="547">
        <f>SUM(D41:D64)</f>
        <v>55108228.127682008</v>
      </c>
      <c r="E65" s="150">
        <f>SUM(E41:E64)</f>
        <v>-284488345.76881272</v>
      </c>
      <c r="F65" s="47"/>
      <c r="G65" s="103">
        <f>SUM(G41:G64)</f>
        <v>0</v>
      </c>
      <c r="H65" s="47"/>
      <c r="I65" s="103">
        <f>SUM(I41:I64)</f>
        <v>7992015.8244946841</v>
      </c>
      <c r="J65" s="103">
        <f>SUM(J41:J64)</f>
        <v>331604558.07200003</v>
      </c>
      <c r="K65" s="103">
        <f>SUM(K41:K64)</f>
        <v>339596573.89649475</v>
      </c>
    </row>
    <row r="66" spans="1:12">
      <c r="A66" s="51"/>
      <c r="B66" s="47"/>
      <c r="C66" s="47"/>
      <c r="D66" s="47"/>
      <c r="E66" s="47"/>
      <c r="F66" s="47"/>
      <c r="G66" s="47"/>
      <c r="H66" s="47"/>
      <c r="I66" s="47"/>
      <c r="J66" s="47"/>
      <c r="K66" s="42"/>
    </row>
    <row r="67" spans="1:12">
      <c r="A67" s="51"/>
    </row>
    <row r="68" spans="1:12" ht="18">
      <c r="A68" s="51"/>
      <c r="B68" s="1265" t="str">
        <f>"Prepayments Account 165 - Balance @ 12/31/"&amp;D70&amp;""</f>
        <v>Prepayments Account 165 - Balance @ 12/31/2025</v>
      </c>
      <c r="C68" s="1265"/>
      <c r="D68" s="1265"/>
      <c r="E68" s="1265"/>
      <c r="F68" s="1265"/>
      <c r="G68" s="1265"/>
      <c r="H68" s="1265"/>
      <c r="I68" s="1265"/>
      <c r="J68" s="1265"/>
      <c r="K68" s="56"/>
      <c r="L68" s="57"/>
    </row>
    <row r="69" spans="1:12">
      <c r="A69" s="51"/>
      <c r="B69" s="160"/>
      <c r="C69" s="161"/>
      <c r="D69" s="162"/>
      <c r="E69" s="7"/>
      <c r="F69" s="47"/>
      <c r="G69" s="7" t="s">
        <v>87</v>
      </c>
      <c r="H69" s="47"/>
      <c r="I69" s="5" t="s">
        <v>115</v>
      </c>
      <c r="J69" s="5" t="s">
        <v>115</v>
      </c>
      <c r="K69" s="5" t="s">
        <v>179</v>
      </c>
    </row>
    <row r="70" spans="1:12">
      <c r="A70" s="51"/>
      <c r="B70" s="160"/>
      <c r="C70" s="163"/>
      <c r="D70" s="5" t="str">
        <f>""&amp;TCOS!L4-1</f>
        <v>2025</v>
      </c>
      <c r="E70" s="5" t="s">
        <v>530</v>
      </c>
      <c r="F70" s="47"/>
      <c r="G70" s="5" t="s">
        <v>115</v>
      </c>
      <c r="H70" s="47"/>
      <c r="I70" s="5" t="s">
        <v>523</v>
      </c>
      <c r="J70" s="5" t="s">
        <v>161</v>
      </c>
      <c r="K70" s="5" t="s">
        <v>180</v>
      </c>
    </row>
    <row r="71" spans="1:12">
      <c r="A71" s="51">
        <f>A64+1</f>
        <v>34</v>
      </c>
      <c r="B71" s="9" t="s">
        <v>90</v>
      </c>
      <c r="C71" s="9" t="s">
        <v>167</v>
      </c>
      <c r="D71" s="9" t="s">
        <v>88</v>
      </c>
      <c r="E71" s="9" t="s">
        <v>502</v>
      </c>
      <c r="F71" s="47"/>
      <c r="G71" s="9" t="s">
        <v>524</v>
      </c>
      <c r="H71" s="47"/>
      <c r="I71" s="9" t="s">
        <v>524</v>
      </c>
      <c r="J71" s="9" t="s">
        <v>524</v>
      </c>
      <c r="K71" s="9" t="s">
        <v>525</v>
      </c>
      <c r="L71" s="9" t="s">
        <v>39</v>
      </c>
    </row>
    <row r="72" spans="1:12">
      <c r="A72" s="51"/>
      <c r="B72" s="99"/>
      <c r="C72" s="100"/>
      <c r="D72" s="100"/>
      <c r="E72" s="100"/>
      <c r="F72" s="47"/>
      <c r="G72" s="100"/>
      <c r="H72" s="47"/>
      <c r="I72" s="100"/>
      <c r="J72" s="100"/>
      <c r="K72" s="100"/>
    </row>
    <row r="73" spans="1:12" ht="14.25">
      <c r="A73" s="51">
        <f>+A71+1</f>
        <v>35</v>
      </c>
      <c r="B73" s="986" t="s">
        <v>863</v>
      </c>
      <c r="C73" s="987" t="s">
        <v>864</v>
      </c>
      <c r="D73" s="1054">
        <v>3626419.5925939856</v>
      </c>
      <c r="E73" s="66">
        <f>+D73-K73</f>
        <v>0</v>
      </c>
      <c r="F73" s="1055"/>
      <c r="G73" s="68"/>
      <c r="H73" s="1055"/>
      <c r="I73" s="68">
        <f>D73</f>
        <v>3626419.5925939856</v>
      </c>
      <c r="J73" s="68"/>
      <c r="K73" s="68">
        <f t="shared" ref="K73:K86" si="7">+G73+I73+J73</f>
        <v>3626419.5925939856</v>
      </c>
      <c r="L73" t="s">
        <v>531</v>
      </c>
    </row>
    <row r="74" spans="1:12" ht="14.25">
      <c r="A74" s="51">
        <f t="shared" ref="A74:A96" si="8">+A73+1</f>
        <v>36</v>
      </c>
      <c r="B74" s="988" t="s">
        <v>1160</v>
      </c>
      <c r="C74" s="987" t="s">
        <v>865</v>
      </c>
      <c r="D74" s="1054">
        <v>0</v>
      </c>
      <c r="E74" s="66">
        <f t="shared" ref="E74:E92" si="9">+D74-K74</f>
        <v>0</v>
      </c>
      <c r="F74" s="1055"/>
      <c r="G74" s="68"/>
      <c r="H74" s="1055"/>
      <c r="I74" s="68"/>
      <c r="J74" s="68"/>
      <c r="K74" s="68">
        <f t="shared" si="7"/>
        <v>0</v>
      </c>
      <c r="L74" s="1055"/>
    </row>
    <row r="75" spans="1:12" ht="14.25">
      <c r="A75" s="51">
        <f t="shared" si="8"/>
        <v>37</v>
      </c>
      <c r="B75" s="988" t="s">
        <v>1161</v>
      </c>
      <c r="C75" s="987" t="s">
        <v>865</v>
      </c>
      <c r="D75" s="1054">
        <v>0</v>
      </c>
      <c r="E75" s="66">
        <f t="shared" si="9"/>
        <v>0</v>
      </c>
      <c r="F75" s="1055"/>
      <c r="G75" s="68"/>
      <c r="H75" s="1055"/>
      <c r="I75" s="68"/>
      <c r="J75" s="68"/>
      <c r="K75" s="68">
        <f t="shared" si="7"/>
        <v>0</v>
      </c>
      <c r="L75" s="1055" t="s">
        <v>1051</v>
      </c>
    </row>
    <row r="76" spans="1:12" ht="14.25">
      <c r="A76" s="51">
        <f t="shared" si="8"/>
        <v>38</v>
      </c>
      <c r="B76" s="988" t="s">
        <v>1162</v>
      </c>
      <c r="C76" s="987" t="s">
        <v>865</v>
      </c>
      <c r="D76" s="1054">
        <v>0</v>
      </c>
      <c r="E76" s="66">
        <f t="shared" si="9"/>
        <v>0</v>
      </c>
      <c r="F76" s="1055"/>
      <c r="G76" s="68"/>
      <c r="H76" s="1055"/>
      <c r="I76" s="68"/>
      <c r="J76" s="68"/>
      <c r="K76" s="68">
        <f t="shared" si="7"/>
        <v>0</v>
      </c>
      <c r="L76" s="1055" t="s">
        <v>945</v>
      </c>
    </row>
    <row r="77" spans="1:12" ht="14.25">
      <c r="A77" s="51">
        <f t="shared" si="8"/>
        <v>39</v>
      </c>
      <c r="B77" s="989" t="s">
        <v>866</v>
      </c>
      <c r="C77" s="987" t="s">
        <v>867</v>
      </c>
      <c r="D77" s="1054">
        <v>18338.141566287479</v>
      </c>
      <c r="E77" s="66">
        <f t="shared" si="9"/>
        <v>18338.141566287479</v>
      </c>
      <c r="F77" s="1055"/>
      <c r="G77" s="68"/>
      <c r="H77" s="1055"/>
      <c r="I77" s="68"/>
      <c r="J77" s="68"/>
      <c r="K77" s="68">
        <f t="shared" si="7"/>
        <v>0</v>
      </c>
      <c r="L77" s="166" t="s">
        <v>867</v>
      </c>
    </row>
    <row r="78" spans="1:12" ht="14.25">
      <c r="A78" s="51">
        <f t="shared" si="8"/>
        <v>40</v>
      </c>
      <c r="B78" s="986" t="s">
        <v>868</v>
      </c>
      <c r="C78" s="987" t="s">
        <v>869</v>
      </c>
      <c r="D78" s="1054">
        <v>732711.32536415639</v>
      </c>
      <c r="E78" s="66">
        <f t="shared" si="9"/>
        <v>732711.32536415639</v>
      </c>
      <c r="F78" s="1055"/>
      <c r="G78" s="1056"/>
      <c r="H78" s="1055"/>
      <c r="I78" s="1056"/>
      <c r="J78" s="1056"/>
      <c r="K78" s="1056">
        <f t="shared" si="7"/>
        <v>0</v>
      </c>
      <c r="L78" t="s">
        <v>946</v>
      </c>
    </row>
    <row r="79" spans="1:12" ht="14.25">
      <c r="A79" s="51">
        <f t="shared" si="8"/>
        <v>41</v>
      </c>
      <c r="B79" s="986" t="s">
        <v>870</v>
      </c>
      <c r="C79" s="987" t="s">
        <v>871</v>
      </c>
      <c r="D79" s="1054">
        <v>526349.22128349135</v>
      </c>
      <c r="E79" s="66">
        <f t="shared" si="9"/>
        <v>526349.22128349135</v>
      </c>
      <c r="F79" s="1055"/>
      <c r="G79" s="68"/>
      <c r="H79" s="1055"/>
      <c r="I79" s="68"/>
      <c r="J79" s="68"/>
      <c r="K79" s="1056">
        <f t="shared" si="7"/>
        <v>0</v>
      </c>
      <c r="L79" t="s">
        <v>888</v>
      </c>
    </row>
    <row r="80" spans="1:12" ht="14.25">
      <c r="A80" s="51">
        <f t="shared" si="8"/>
        <v>42</v>
      </c>
      <c r="B80" s="989" t="s">
        <v>956</v>
      </c>
      <c r="C80" s="987" t="s">
        <v>957</v>
      </c>
      <c r="D80" s="1054">
        <v>0</v>
      </c>
      <c r="E80" s="66">
        <f t="shared" si="9"/>
        <v>0</v>
      </c>
      <c r="F80" s="1055"/>
      <c r="G80" s="68"/>
      <c r="H80" s="1055"/>
      <c r="I80" s="68"/>
      <c r="J80" s="68"/>
      <c r="K80" s="1056">
        <f t="shared" si="7"/>
        <v>0</v>
      </c>
      <c r="L80" s="166" t="s">
        <v>947</v>
      </c>
    </row>
    <row r="81" spans="1:12" ht="14.25">
      <c r="A81" s="51">
        <f t="shared" si="8"/>
        <v>43</v>
      </c>
      <c r="B81" s="990" t="s">
        <v>872</v>
      </c>
      <c r="C81" s="987" t="s">
        <v>958</v>
      </c>
      <c r="D81" s="1054">
        <v>155713264.33000001</v>
      </c>
      <c r="E81" s="66">
        <f t="shared" si="9"/>
        <v>0</v>
      </c>
      <c r="F81" s="1055"/>
      <c r="G81" s="68"/>
      <c r="H81" s="1055"/>
      <c r="I81" s="68"/>
      <c r="J81" s="68">
        <f>D81</f>
        <v>155713264.33000001</v>
      </c>
      <c r="K81" s="1056">
        <f t="shared" si="7"/>
        <v>155713264.33000001</v>
      </c>
      <c r="L81" s="166" t="s">
        <v>948</v>
      </c>
    </row>
    <row r="82" spans="1:12" ht="14.25">
      <c r="A82" s="51">
        <f t="shared" si="8"/>
        <v>44</v>
      </c>
      <c r="B82" s="990" t="s">
        <v>874</v>
      </c>
      <c r="C82" s="987" t="s">
        <v>875</v>
      </c>
      <c r="D82" s="1054">
        <v>-155713264.33000001</v>
      </c>
      <c r="E82" s="66">
        <f t="shared" si="9"/>
        <v>-155713264.33000001</v>
      </c>
      <c r="F82" s="1055"/>
      <c r="G82" s="1056"/>
      <c r="H82" s="1055"/>
      <c r="I82" s="1056"/>
      <c r="J82" s="1056"/>
      <c r="K82" s="1056">
        <f t="shared" si="7"/>
        <v>0</v>
      </c>
      <c r="L82" t="s">
        <v>949</v>
      </c>
    </row>
    <row r="83" spans="1:12" ht="14.25">
      <c r="A83" s="51">
        <f t="shared" si="8"/>
        <v>45</v>
      </c>
      <c r="B83" s="988">
        <v>165001223</v>
      </c>
      <c r="C83" s="987" t="s">
        <v>873</v>
      </c>
      <c r="D83" s="1054">
        <v>47516.162369536003</v>
      </c>
      <c r="E83" s="66">
        <f t="shared" si="9"/>
        <v>47516.162369536003</v>
      </c>
      <c r="F83" s="1055"/>
      <c r="G83" s="1056"/>
      <c r="H83" s="1055"/>
      <c r="I83" s="1056"/>
      <c r="J83" s="1056"/>
      <c r="K83" s="1056">
        <f t="shared" si="7"/>
        <v>0</v>
      </c>
      <c r="L83" t="s">
        <v>889</v>
      </c>
    </row>
    <row r="84" spans="1:12" ht="14.25">
      <c r="A84" s="51">
        <f t="shared" si="8"/>
        <v>46</v>
      </c>
      <c r="B84" s="988" t="s">
        <v>876</v>
      </c>
      <c r="C84" s="987" t="s">
        <v>877</v>
      </c>
      <c r="D84" s="1054">
        <v>0</v>
      </c>
      <c r="E84" s="66">
        <f t="shared" si="9"/>
        <v>0</v>
      </c>
      <c r="F84" s="1055"/>
      <c r="G84" s="1056"/>
      <c r="H84" s="1055"/>
      <c r="I84" s="1056"/>
      <c r="J84" s="1056"/>
      <c r="K84" s="1056">
        <f t="shared" si="7"/>
        <v>0</v>
      </c>
      <c r="L84" t="s">
        <v>114</v>
      </c>
    </row>
    <row r="85" spans="1:12" ht="14.25">
      <c r="A85" s="51">
        <f t="shared" si="8"/>
        <v>47</v>
      </c>
      <c r="B85" s="988" t="s">
        <v>878</v>
      </c>
      <c r="C85" s="987" t="s">
        <v>879</v>
      </c>
      <c r="D85" s="1054">
        <v>3150568.1679682303</v>
      </c>
      <c r="E85" s="66">
        <f t="shared" si="9"/>
        <v>0</v>
      </c>
      <c r="F85" s="1055"/>
      <c r="G85" s="1056"/>
      <c r="H85" s="1055"/>
      <c r="I85" s="68">
        <f t="shared" ref="I85:I86" si="10">D85</f>
        <v>3150568.1679682303</v>
      </c>
      <c r="J85" s="1056"/>
      <c r="K85" s="1056">
        <f t="shared" si="7"/>
        <v>3150568.1679682303</v>
      </c>
      <c r="L85" t="s">
        <v>890</v>
      </c>
    </row>
    <row r="86" spans="1:12" ht="14.25">
      <c r="A86" s="51">
        <f t="shared" si="8"/>
        <v>48</v>
      </c>
      <c r="B86" s="988" t="s">
        <v>880</v>
      </c>
      <c r="C86" s="987" t="s">
        <v>881</v>
      </c>
      <c r="D86" s="1054">
        <v>337052.75165507122</v>
      </c>
      <c r="E86" s="66">
        <f t="shared" si="9"/>
        <v>0</v>
      </c>
      <c r="F86" s="1055"/>
      <c r="G86" s="68"/>
      <c r="H86" s="1055"/>
      <c r="I86" s="68">
        <f t="shared" si="10"/>
        <v>337052.75165507122</v>
      </c>
      <c r="J86" s="68"/>
      <c r="K86" s="1056">
        <f t="shared" si="7"/>
        <v>337052.75165507122</v>
      </c>
      <c r="L86" t="s">
        <v>595</v>
      </c>
    </row>
    <row r="87" spans="1:12" ht="14.25">
      <c r="A87" s="51">
        <f t="shared" si="8"/>
        <v>49</v>
      </c>
      <c r="B87" s="988">
        <v>1650024</v>
      </c>
      <c r="C87" s="987" t="s">
        <v>1163</v>
      </c>
      <c r="D87" s="1054">
        <v>36624699.111307681</v>
      </c>
      <c r="E87" s="66">
        <f t="shared" si="9"/>
        <v>36624699.111307681</v>
      </c>
      <c r="F87" s="1055"/>
      <c r="G87" s="68"/>
      <c r="H87" s="1055"/>
      <c r="I87" s="68"/>
      <c r="J87" s="68"/>
      <c r="K87" s="1056">
        <f t="shared" ref="K87:K92" si="11">J87</f>
        <v>0</v>
      </c>
      <c r="L87" t="s">
        <v>1164</v>
      </c>
    </row>
    <row r="88" spans="1:12" ht="14.25">
      <c r="A88" s="51">
        <f t="shared" si="8"/>
        <v>50</v>
      </c>
      <c r="B88" s="988" t="s">
        <v>882</v>
      </c>
      <c r="C88" s="987" t="s">
        <v>883</v>
      </c>
      <c r="D88" s="1054">
        <v>170253293.74200001</v>
      </c>
      <c r="E88" s="66">
        <f t="shared" si="9"/>
        <v>0</v>
      </c>
      <c r="F88" s="1055"/>
      <c r="G88" s="68"/>
      <c r="H88" s="1055"/>
      <c r="I88" s="68"/>
      <c r="J88" s="68">
        <f>D88</f>
        <v>170253293.74200001</v>
      </c>
      <c r="K88" s="1056">
        <f t="shared" si="11"/>
        <v>170253293.74200001</v>
      </c>
      <c r="L88" t="s">
        <v>891</v>
      </c>
    </row>
    <row r="89" spans="1:12" ht="14.25">
      <c r="A89" s="51">
        <f t="shared" si="8"/>
        <v>51</v>
      </c>
      <c r="B89" s="988" t="s">
        <v>884</v>
      </c>
      <c r="C89" s="987" t="s">
        <v>885</v>
      </c>
      <c r="D89" s="1054">
        <v>0</v>
      </c>
      <c r="E89" s="66">
        <f t="shared" si="9"/>
        <v>0</v>
      </c>
      <c r="F89" s="1055"/>
      <c r="G89" s="68"/>
      <c r="H89" s="1055"/>
      <c r="I89" s="68"/>
      <c r="J89" s="68"/>
      <c r="K89" s="1056">
        <f t="shared" si="11"/>
        <v>0</v>
      </c>
      <c r="L89" t="s">
        <v>114</v>
      </c>
    </row>
    <row r="90" spans="1:12" ht="14.25">
      <c r="A90" s="51">
        <f>A89+1</f>
        <v>52</v>
      </c>
      <c r="B90" s="988" t="s">
        <v>886</v>
      </c>
      <c r="C90" s="987" t="s">
        <v>887</v>
      </c>
      <c r="D90" s="1054">
        <v>-170253293.74200001</v>
      </c>
      <c r="E90" s="66">
        <f t="shared" si="9"/>
        <v>-170253293.74200001</v>
      </c>
      <c r="F90" s="1055"/>
      <c r="G90" s="68"/>
      <c r="H90" s="1055"/>
      <c r="I90" s="68"/>
      <c r="J90" s="68"/>
      <c r="K90" s="1056">
        <f>G90</f>
        <v>0</v>
      </c>
      <c r="L90" t="s">
        <v>949</v>
      </c>
    </row>
    <row r="91" spans="1:12" ht="14.25">
      <c r="A91" s="51">
        <f>A90+1</f>
        <v>53</v>
      </c>
      <c r="B91" s="988" t="s">
        <v>1165</v>
      </c>
      <c r="C91" s="987" t="s">
        <v>1166</v>
      </c>
      <c r="D91" s="1054">
        <v>1978794.4309028864</v>
      </c>
      <c r="E91" s="66">
        <f t="shared" si="9"/>
        <v>1978794.4309028864</v>
      </c>
      <c r="F91" s="1055"/>
      <c r="G91" s="68"/>
      <c r="H91" s="1055"/>
      <c r="I91" s="68"/>
      <c r="J91" s="68"/>
      <c r="K91" s="1056">
        <f t="shared" ref="K91" si="12">J91</f>
        <v>0</v>
      </c>
      <c r="L91" t="s">
        <v>1167</v>
      </c>
    </row>
    <row r="92" spans="1:12" ht="14.25">
      <c r="A92" s="51">
        <f>A91+1</f>
        <v>54</v>
      </c>
      <c r="B92" s="988" t="s">
        <v>1168</v>
      </c>
      <c r="C92" s="987" t="s">
        <v>1169</v>
      </c>
      <c r="D92" s="1054">
        <v>2011779.2229253305</v>
      </c>
      <c r="E92" s="66">
        <f t="shared" si="9"/>
        <v>2011779.2229253305</v>
      </c>
      <c r="F92" s="1055"/>
      <c r="G92" s="68"/>
      <c r="H92" s="1055"/>
      <c r="I92" s="68"/>
      <c r="J92" s="68"/>
      <c r="K92" s="1056">
        <f t="shared" si="11"/>
        <v>0</v>
      </c>
      <c r="L92" t="s">
        <v>1170</v>
      </c>
    </row>
    <row r="93" spans="1:12" ht="14.25">
      <c r="A93" s="51">
        <f>A92+1</f>
        <v>55</v>
      </c>
      <c r="B93" s="988"/>
      <c r="C93" s="987"/>
      <c r="D93" s="545"/>
      <c r="E93" s="951"/>
      <c r="F93" s="47"/>
      <c r="G93" s="952"/>
      <c r="H93" s="47"/>
      <c r="I93" s="952"/>
      <c r="J93" s="952"/>
      <c r="K93" s="953"/>
    </row>
    <row r="94" spans="1:12" ht="14.25">
      <c r="A94" s="51">
        <f t="shared" si="8"/>
        <v>56</v>
      </c>
      <c r="B94" s="963"/>
      <c r="C94" s="544"/>
      <c r="D94" s="545"/>
      <c r="E94" s="951"/>
      <c r="F94" s="47"/>
      <c r="G94" s="952"/>
      <c r="H94" s="47"/>
      <c r="I94" s="952"/>
      <c r="J94" s="952"/>
      <c r="K94" s="953"/>
    </row>
    <row r="95" spans="1:12" ht="14.25">
      <c r="A95" s="51">
        <f t="shared" si="8"/>
        <v>57</v>
      </c>
      <c r="B95" s="963"/>
      <c r="C95" s="544"/>
      <c r="D95" s="545"/>
      <c r="E95" s="951"/>
      <c r="F95" s="47"/>
      <c r="G95" s="952"/>
      <c r="H95" s="47"/>
      <c r="I95" s="952"/>
      <c r="J95" s="952"/>
      <c r="K95" s="953"/>
    </row>
    <row r="96" spans="1:12" ht="14.25">
      <c r="A96" s="51">
        <f t="shared" si="8"/>
        <v>58</v>
      </c>
      <c r="B96" s="546"/>
      <c r="C96" s="544"/>
      <c r="D96" s="545"/>
      <c r="E96" s="96"/>
      <c r="F96" s="47"/>
      <c r="G96" s="68"/>
      <c r="H96" s="47"/>
      <c r="I96" s="68"/>
      <c r="J96" s="68"/>
      <c r="K96" s="953"/>
    </row>
    <row r="97" spans="1:12" ht="13.5" thickBot="1">
      <c r="A97" s="51"/>
      <c r="B97" s="15"/>
      <c r="C97" s="15"/>
      <c r="D97" s="96"/>
      <c r="E97" s="66"/>
      <c r="F97" s="47"/>
      <c r="G97" s="68"/>
      <c r="H97" s="47"/>
      <c r="I97" s="68"/>
      <c r="J97" s="68"/>
      <c r="K97" s="68"/>
    </row>
    <row r="98" spans="1:12" ht="14.25">
      <c r="A98" s="51"/>
      <c r="B98" s="99"/>
      <c r="C98" s="19" t="s">
        <v>383</v>
      </c>
      <c r="D98" s="547">
        <f>IF(SUM(D73:D97)=0,"",SUM(D73:D97))</f>
        <v>49054228.127936639</v>
      </c>
      <c r="E98" s="150">
        <f>IF(SUM(E73:E97)=0,"",SUM(E73:E97))</f>
        <v>-284026370.45628065</v>
      </c>
      <c r="F98" s="47"/>
      <c r="G98" s="103" t="str">
        <f>IF(SUM(G73:G97)=0,"",SUM(G73:G97))</f>
        <v/>
      </c>
      <c r="H98" s="47"/>
      <c r="I98" s="103">
        <f>IF(SUM(I73:I97)=0,"",SUM(I73:I97))</f>
        <v>7114040.512217287</v>
      </c>
      <c r="J98" s="103">
        <f>IF(SUM(J73:J97)=0,"",SUM(J73:J97))</f>
        <v>325966558.07200003</v>
      </c>
      <c r="K98" s="103">
        <f>IF(SUM(K73:K97)=0,"",SUM(K73:K97))</f>
        <v>333080598.58421731</v>
      </c>
    </row>
    <row r="99" spans="1:12">
      <c r="A99" s="51"/>
      <c r="B99" s="51"/>
    </row>
    <row r="100" spans="1:12" ht="18.75" customHeight="1">
      <c r="A100" s="51" t="s">
        <v>628</v>
      </c>
      <c r="B100" s="1244" t="s">
        <v>818</v>
      </c>
      <c r="C100" s="1244"/>
      <c r="D100" s="1244"/>
      <c r="E100" s="1244"/>
      <c r="F100" s="1244"/>
      <c r="G100" s="1244"/>
      <c r="H100" s="1244"/>
      <c r="I100" s="1244"/>
      <c r="J100" s="1244"/>
      <c r="K100" s="1244"/>
      <c r="L100" s="1244"/>
    </row>
    <row r="101" spans="1:12" ht="18.75" customHeight="1">
      <c r="A101" s="4"/>
      <c r="B101" s="1244"/>
      <c r="C101" s="1244"/>
      <c r="D101" s="1244"/>
      <c r="E101" s="1244"/>
      <c r="F101" s="1244"/>
      <c r="G101" s="1244"/>
      <c r="H101" s="1244"/>
      <c r="I101" s="1244"/>
      <c r="J101" s="1244"/>
      <c r="K101" s="1244"/>
      <c r="L101" s="1244"/>
    </row>
  </sheetData>
  <mergeCells count="12">
    <mergeCell ref="B100:L101"/>
    <mergeCell ref="B68:J68"/>
    <mergeCell ref="B26:K26"/>
    <mergeCell ref="E12:E13"/>
    <mergeCell ref="I12:I13"/>
    <mergeCell ref="B36:J36"/>
    <mergeCell ref="G12:G13"/>
    <mergeCell ref="B10:K10"/>
    <mergeCell ref="A3:L3"/>
    <mergeCell ref="A4:L4"/>
    <mergeCell ref="A5:L5"/>
    <mergeCell ref="A6:L6"/>
  </mergeCells>
  <phoneticPr fontId="3" type="noConversion"/>
  <pageMargins left="1.08" right="0.75" top="1" bottom="0.41" header="0.86" footer="0.27"/>
  <pageSetup scale="37" orientation="landscape"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C8yMi8yMDIzIDI6MDM6MDkgUE08L0RhdGVUaW1lPjxMYWJlbFN0cmluZz5BRVAgSW50ZXJuYWw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57878614-C649-44EE-BC18-6741B4E4F6D1}">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4DE40D1-6A26-425E-AC44-A5D2C14516D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31</vt:i4>
      </vt:variant>
      <vt:variant>
        <vt:lpstr>Named Ranges</vt:lpstr>
      </vt:variant>
      <vt:variant>
        <vt:i4>4</vt:i4>
      </vt:variant>
    </vt:vector>
  </HeadingPairs>
  <TitlesOfParts>
    <vt:vector size="35" baseType="lpstr">
      <vt:lpstr>TCOS</vt:lpstr>
      <vt:lpstr>WS A - RB Support</vt:lpstr>
      <vt:lpstr>WS B ADIT &amp; ITC</vt:lpstr>
      <vt:lpstr>WS B-1 - Actual Stmt. AF</vt:lpstr>
      <vt:lpstr>WS B-2 - Actual Stmt. AG</vt:lpstr>
      <vt:lpstr>WS B-3</vt:lpstr>
      <vt:lpstr>WS B-3-A</vt:lpstr>
      <vt:lpstr>WS B-3-B</vt:lpstr>
      <vt:lpstr>WS C  - Working Capital</vt:lpstr>
      <vt:lpstr>WS D IPP Credits</vt:lpstr>
      <vt:lpstr>WS E Rev Credits</vt:lpstr>
      <vt:lpstr>WS F Misc Exp</vt:lpstr>
      <vt:lpstr>WS G  State Tax Rate</vt:lpstr>
      <vt:lpstr>WS H Other Taxes</vt:lpstr>
      <vt:lpstr>WS H-1-Detail of Tax Amts</vt:lpstr>
      <vt:lpstr>WS I Reserved</vt:lpstr>
      <vt:lpstr>WS J PROJECTED RTEP RR</vt:lpstr>
      <vt:lpstr>WS K TRUE-UP RTEP RR</vt:lpstr>
      <vt:lpstr>WS L Reserved</vt:lpstr>
      <vt:lpstr>WS M - Cost of Capital</vt:lpstr>
      <vt:lpstr>WS N - Sale of Plant Held</vt:lpstr>
      <vt:lpstr>WS O - PBOP</vt:lpstr>
      <vt:lpstr>APCo - WS P Dep. Rates</vt:lpstr>
      <vt:lpstr>IMC - WS P Dep. Rates</vt:lpstr>
      <vt:lpstr>KGP - WS P Dep. Rates</vt:lpstr>
      <vt:lpstr>KPC - WS P Dep. Rates</vt:lpstr>
      <vt:lpstr>OPC - WS P Dep. Rates</vt:lpstr>
      <vt:lpstr>WPC-WS P Dep. Rates</vt:lpstr>
      <vt:lpstr>WS Q NITS</vt:lpstr>
      <vt:lpstr>WS Q Schedule 12</vt:lpstr>
      <vt:lpstr>WSQ Schedule 1A</vt:lpstr>
      <vt:lpstr>TCOS!Print_Area</vt:lpstr>
      <vt:lpstr>'WS B-3-A'!Print_Area</vt:lpstr>
      <vt:lpstr>'WS G  State Tax Rate'!Print_Area</vt:lpstr>
      <vt:lpstr>'WS O - PBOP'!Print_Area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2025-10-29T17:14:24Z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06a4419f-9f91-4393-b846-f19c0c1c5f6f</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bjLabelHistoryID">
    <vt:lpwstr>{57878614-C649-44EE-BC18-6741B4E4F6D1}</vt:lpwstr>
  </property>
  <property fmtid="{D5CDD505-2E9C-101B-9397-08002B2CF9AE}" pid="9" name="MSIP_Label_69f43042-6bda-44b2-91eb-eca3d3d484f4_SiteId">
    <vt:lpwstr>15f3c881-6b03-4ff6-8559-77bf5177818f</vt:lpwstr>
  </property>
  <property fmtid="{D5CDD505-2E9C-101B-9397-08002B2CF9AE}" pid="10" name="MSIP_Label_69f43042-6bda-44b2-91eb-eca3d3d484f4_Name">
    <vt:lpwstr>AEP Internal</vt:lpwstr>
  </property>
  <property fmtid="{D5CDD505-2E9C-101B-9397-08002B2CF9AE}" pid="11" name="MSIP_Label_69f43042-6bda-44b2-91eb-eca3d3d484f4_Enabled">
    <vt:lpwstr>true</vt:lpwstr>
  </property>
  <property fmtid="{D5CDD505-2E9C-101B-9397-08002B2CF9AE}" pid="12" name="bjClsUserRVM">
    <vt:lpwstr>[]</vt:lpwstr>
  </property>
</Properties>
</file>